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ettings" sheetId="2" state="visible" r:id="rId2"/>
    <sheet name="Teams" sheetId="3" state="visible" r:id="rId3"/>
    <sheet name="Seat roster" sheetId="4" state="visible" r:id="rId4"/>
    <sheet name="Claude Code" sheetId="5" state="visible" r:id="rId5"/>
    <sheet name="Chargeback" sheetId="6" state="visible" r:id="rId6"/>
    <sheet name="Journal" sheetId="7" state="visible" r:id="rId7"/>
  </sheets>
  <definedNames/>
  <calcPr calcId="124519" fullCalcOnLoad="1"/>
</workbook>
</file>

<file path=xl/styles.xml><?xml version="1.0" encoding="utf-8"?>
<styleSheet xmlns="http://schemas.openxmlformats.org/spreadsheetml/2006/main">
  <numFmts count="3">
    <numFmt numFmtId="164" formatCode="#,##0;(#,##0);-"/>
    <numFmt numFmtId="165" formatCode="$#,##0.00;($#,##0.00);-"/>
    <numFmt numFmtId="166" formatCode="0.0%;(0.0%);-"/>
  </numFmts>
  <fonts count="8">
    <font>
      <name val="Calibri"/>
      <family val="2"/>
      <color theme="1"/>
      <sz val="11"/>
      <scheme val="minor"/>
    </font>
    <font>
      <name val="Arial"/>
      <b val="1"/>
      <sz val="14"/>
    </font>
    <font>
      <name val="Arial"/>
    </font>
    <font>
      <name val="Arial"/>
      <b val="1"/>
    </font>
    <font>
      <name val="Arial"/>
      <i val="1"/>
      <color rgb="00555555"/>
      <sz val="9"/>
    </font>
    <font>
      <name val="Arial"/>
      <color rgb="000000FF"/>
    </font>
    <font>
      <name val="Arial"/>
      <b val="1"/>
      <color rgb="00FFFFFF"/>
    </font>
    <font>
      <name val="Arial"/>
      <color rgb="00008000"/>
    </font>
  </fonts>
  <fills count="6">
    <fill>
      <patternFill/>
    </fill>
    <fill>
      <patternFill patternType="gray125"/>
    </fill>
    <fill>
      <patternFill patternType="solid">
        <fgColor rgb="00FFFF00"/>
      </patternFill>
    </fill>
    <fill>
      <patternFill patternType="solid">
        <fgColor rgb="002F3B2F"/>
      </patternFill>
    </fill>
    <fill>
      <patternFill patternType="solid">
        <fgColor rgb="00FFF2CC"/>
      </patternFill>
    </fill>
    <fill>
      <patternFill patternType="solid">
        <fgColor rgb="00E7E6E0"/>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3" fillId="0" borderId="1" pivotButton="0" quotePrefix="0" xfId="0"/>
    <xf numFmtId="0" fontId="5" fillId="2" borderId="1" pivotButton="0" quotePrefix="0" xfId="0"/>
    <xf numFmtId="0" fontId="4" fillId="0" borderId="0" pivotButton="0" quotePrefix="0" xfId="0"/>
    <xf numFmtId="164" fontId="5" fillId="2" borderId="1" pivotButton="0" quotePrefix="0" xfId="0"/>
    <xf numFmtId="0" fontId="3" fillId="0" borderId="0" pivotButton="0" quotePrefix="0" xfId="0"/>
    <xf numFmtId="0" fontId="6" fillId="3" borderId="1" applyAlignment="1" pivotButton="0" quotePrefix="0" xfId="0">
      <alignment vertical="center" wrapText="1"/>
    </xf>
    <xf numFmtId="0" fontId="5" fillId="0" borderId="1" pivotButton="0" quotePrefix="0" xfId="0"/>
    <xf numFmtId="165" fontId="5" fillId="0" borderId="1" pivotButton="0" quotePrefix="0" xfId="0"/>
    <xf numFmtId="0" fontId="2" fillId="0" borderId="1" pivotButton="0" quotePrefix="0" xfId="0"/>
    <xf numFmtId="165" fontId="5" fillId="4" borderId="1" pivotButton="0" quotePrefix="0" xfId="0"/>
    <xf numFmtId="0" fontId="5" fillId="4" borderId="1" pivotButton="0" quotePrefix="0" xfId="0"/>
    <xf numFmtId="164" fontId="5" fillId="4" borderId="1" pivotButton="0" quotePrefix="0" xfId="0"/>
    <xf numFmtId="164" fontId="5" fillId="0" borderId="1" pivotButton="0" quotePrefix="0" xfId="0"/>
    <xf numFmtId="0" fontId="7" fillId="0" borderId="1" pivotButton="0" quotePrefix="0" xfId="0"/>
    <xf numFmtId="165" fontId="7" fillId="0" borderId="1" pivotButton="0" quotePrefix="0" xfId="0"/>
    <xf numFmtId="165" fontId="2" fillId="0" borderId="1" pivotButton="0" quotePrefix="0" xfId="0"/>
    <xf numFmtId="165" fontId="3" fillId="5" borderId="1" pivotButton="0" quotePrefix="0" xfId="0"/>
    <xf numFmtId="164" fontId="7" fillId="0" borderId="1" pivotButton="0" quotePrefix="0" xfId="0"/>
    <xf numFmtId="165" fontId="3" fillId="0" borderId="1" pivotButton="0" quotePrefix="0" xfId="0"/>
    <xf numFmtId="166" fontId="2" fillId="0" borderId="1" pivotButton="0" quotePrefix="0" xfId="0"/>
    <xf numFmtId="0" fontId="4" fillId="0" borderId="1" pivotButton="0" quotePrefix="0" xfId="0"/>
    <xf numFmtId="0" fontId="3" fillId="5" borderId="1" pivotButton="0" quotePrefix="0" xfId="0"/>
    <xf numFmtId="0" fontId="2" fillId="5" borderId="1" pivotButton="0" quotePrefix="0" xfId="0"/>
    <xf numFmtId="164" fontId="3" fillId="5" borderId="1" pivotButton="0" quotePrefix="0" xfId="0"/>
    <xf numFmtId="166" fontId="3" fillId="5" borderId="1" pivotButton="0" quotePrefix="0" xfId="0"/>
    <xf numFmtId="165" fontId="3" fillId="2" borderId="1" pivotButton="0" quotePrefix="0" xfId="0"/>
    <xf numFmtId="0" fontId="6" fillId="3"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7"/>
  <sheetViews>
    <sheetView showGridLines="0" workbookViewId="0">
      <selection activeCell="A1" sqref="A1"/>
    </sheetView>
  </sheetViews>
  <sheetFormatPr baseColWidth="8" defaultRowHeight="15"/>
  <cols>
    <col width="4" customWidth="1" min="1" max="1"/>
    <col width="110" customWidth="1" min="2" max="2"/>
  </cols>
  <sheetData>
    <row r="1">
      <c r="B1" s="1" t="inlineStr">
        <is>
          <t>AI coding tools chargeback template</t>
        </is>
      </c>
    </row>
    <row r="2">
      <c r="B2" s="2" t="inlineStr">
        <is>
          <t>Allocates Claude Code, Cursor and GitHub Copilot costs to teams and cost centres for one billing month, reconciles the result to each invoice, and produces journal lines. Template by Ganivra (ganivra.com).</t>
        </is>
      </c>
    </row>
    <row r="3">
      <c r="B3" s="2" t="inlineStr"/>
    </row>
    <row r="4">
      <c r="B4" s="3" t="inlineStr">
        <is>
          <t>The example data is illustrative. Every name, email, team, cost centre and dollar amount in the yellow-shaded example rows is made up. Replace them with your own.</t>
        </is>
      </c>
    </row>
    <row r="5">
      <c r="B5" s="2" t="inlineStr"/>
    </row>
    <row r="6">
      <c r="B6" s="3" t="inlineStr">
        <is>
          <t>How to read the cells</t>
        </is>
      </c>
    </row>
    <row r="7">
      <c r="B7" s="2" t="inlineStr">
        <is>
          <t>Blue text = an input you type or paste. Black text = a formula, so don't overwrite it. Green text = a value pulled from another sheet. Yellow fill = a setting to check before you use the sheet.</t>
        </is>
      </c>
    </row>
    <row r="8">
      <c r="B8" s="2" t="inlineStr"/>
    </row>
    <row r="9">
      <c r="B9" s="3" t="inlineStr">
        <is>
          <t>Steps</t>
        </is>
      </c>
    </row>
    <row r="10">
      <c r="B10" s="2" t="inlineStr">
        <is>
          <t>1. Settings: set the billing month, days in the period, your accounts, and the seat prices you actually pay. Contract prices beat list prices. Enter each invoice's seat charges and metered usage.</t>
        </is>
      </c>
    </row>
    <row r="11">
      <c r="B11" s="2" t="inlineStr">
        <is>
          <t>2. Teams: list every team key exactly as it appears in your data. Map each key to a cost centre code and add engineer headcount. Several teams can share one cost centre.</t>
        </is>
      </c>
    </row>
    <row r="12">
      <c r="B12" s="2" t="inlineStr">
        <is>
          <t>3. Seat roster: one row per person per tool, with their team key and plan tier. For Cursor and Copilot, add each person's metered usage from the vendor export (see below).</t>
        </is>
      </c>
    </row>
    <row r="13">
      <c r="B13" s="2" t="inlineStr">
        <is>
          <t>4. Claude Code: paste the Teams CSV from Ganivra (Dashboard &gt; Coding agents &gt; Teams &gt; Download teams (.csv)). Paste starting at cell A5. The columns line up with the export.</t>
        </is>
      </c>
    </row>
    <row r="14">
      <c r="B14" s="2" t="inlineStr">
        <is>
          <t>5. Chargeback: list each cost centre code once in column A. The sheet totals seats and usage per cost centre. It also spreads unmapped cost by headcount if you turn that on in Settings.</t>
        </is>
      </c>
    </row>
    <row r="15">
      <c r="B15" s="2" t="inlineStr">
        <is>
          <t>6. Check the Reconciliation block. Allocated seats and usage should match each invoice. A difference usually means a missing roster row, a wrong tier, or a discount not reflected in Settings.</t>
        </is>
      </c>
    </row>
    <row r="16">
      <c r="B16" s="2" t="inlineStr">
        <is>
          <t>7. Journal: one debit line per cost centre and one credit to your clearing or accrual account, ready for your ERP import.</t>
        </is>
      </c>
    </row>
    <row r="17">
      <c r="B17" s="2" t="inlineStr"/>
    </row>
    <row r="18">
      <c r="B18" s="3" t="inlineStr">
        <is>
          <t>Where each number comes from</t>
        </is>
      </c>
    </row>
    <row r="19">
      <c r="B19" s="2" t="inlineStr">
        <is>
          <t>Claude Code usage by team: Ganivra prices every Claude Code request from OpenTelemetry at list rates. It reads the team from the team.id, team, team.name or cost_center resource attribute, and the developer from the account email. The template uses each team's share of that cost to split the Claude usage on your invoice (usage credits on Team or seat-based Enterprise plans, or API usage). If you leave the usage invoice blank, list-rate cost is used as an estimate.</t>
        </is>
      </c>
    </row>
    <row r="20">
      <c r="B20" s="2" t="inlineStr">
        <is>
          <t>Claude seats: from your member list in Claude admin settings, or the spend report export (Settings &gt; Analytics &gt; Export spend report). That export also shows usage-credit spend per person and product.</t>
        </is>
      </c>
    </row>
    <row r="21">
      <c r="B21" s="2" t="inlineStr">
        <is>
          <t>Cursor seats and usage: member emails come from the Admin API (GET /teams/members). Per-person additional usage is the sum of chargedCents in POST /teams/filtered-usage-events for the month, divided by 100. Seat tiers are Premium, Super and Ultra.</t>
        </is>
      </c>
    </row>
    <row r="22">
      <c r="B22" s="2" t="inlineStr">
        <is>
          <t>GitHub Copilot seats and usage: Copilot licences follow each user's cost centre in GitHub billing. Usage reports (Billing &gt; Usage &gt; Get usage report) include username and cost_center_name. Included AI credits are pooled, so enter each person's AI credit usage in dollars. The sheet splits the overage on your invoice in proportion to that usage.</t>
        </is>
      </c>
    </row>
    <row r="23">
      <c r="B23" s="2" t="inlineStr"/>
    </row>
    <row r="24">
      <c r="B24" s="3" t="inlineStr">
        <is>
          <t>Method and limits</t>
        </is>
      </c>
    </row>
    <row r="25">
      <c r="B25" s="2" t="inlineStr">
        <is>
          <t>Seats are charged at the price in Settings, prorated by billable days when you enter them. Metered usage for each tool is split in proportion to measured usage, so allocated usage always sums to that tool's invoice. Seat charges are not scaled. Any gap between allocated seats and the invoice shows in the Reconciliation block for you to explain. Taxes and credits are out of scope. Add them as a separate line if your policy allocates them.</t>
        </is>
      </c>
    </row>
    <row r="26">
      <c r="B26" s="2" t="inlineStr"/>
    </row>
    <row r="27">
      <c r="B27" s="4" t="inlineStr">
        <is>
          <t>Sources for list prices (checked 7 November 2026): claude.com/pricing, cursor.com/docs/account/teams/pricing, docs.github.com/en/copilot/concepts/billing/organizations-and-enterprises. Prices change, so confirm them against your contract before each close.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4"/>
  <sheetViews>
    <sheetView showGridLines="1" workbookViewId="0">
      <selection activeCell="A1" sqref="A1"/>
    </sheetView>
  </sheetViews>
  <sheetFormatPr baseColWidth="8" defaultRowHeight="15"/>
  <cols>
    <col width="38" customWidth="1" min="1" max="1"/>
    <col width="30" customWidth="1" min="2" max="2"/>
    <col width="22" customWidth="1" min="3" max="3"/>
    <col width="30" customWidth="1" min="4" max="4"/>
    <col width="70" customWidth="1" min="5" max="5"/>
  </cols>
  <sheetData>
    <row r="1">
      <c r="A1" s="5" t="inlineStr">
        <is>
          <t>Settings</t>
        </is>
      </c>
    </row>
    <row r="3">
      <c r="A3" s="6" t="inlineStr">
        <is>
          <t>Billing month</t>
        </is>
      </c>
      <c r="B3" s="7" t="inlineStr">
        <is>
          <t>2026-10</t>
        </is>
      </c>
      <c r="C3" s="8" t="inlineStr">
        <is>
          <t>Text label used in the journal memo.</t>
        </is>
      </c>
    </row>
    <row r="4">
      <c r="A4" s="6" t="inlineStr">
        <is>
          <t>Days in billing period</t>
        </is>
      </c>
      <c r="B4" s="9" t="n">
        <v>31</v>
      </c>
      <c r="C4" s="8" t="inlineStr">
        <is>
          <t>Used to prorate seats with billable days in the roster.</t>
        </is>
      </c>
    </row>
    <row r="5">
      <c r="A5" s="6" t="inlineStr">
        <is>
          <t>Spread unmapped costs by headcount?</t>
        </is>
      </c>
      <c r="B5" s="7" t="inlineStr">
        <is>
          <t>Yes</t>
        </is>
      </c>
      <c r="C5" s="8" t="inlineStr">
        <is>
          <t>Yes spreads cost for unmapped teams and people over cost centres by engineer headcount. No leaves it on the Unmapped line.</t>
        </is>
      </c>
    </row>
    <row r="6">
      <c r="A6" s="6" t="inlineStr">
        <is>
          <t>Expense account (debit)</t>
        </is>
      </c>
      <c r="B6" s="7" t="inlineStr">
        <is>
          <t>6420 Software - AI tools</t>
        </is>
      </c>
      <c r="C6" s="8" t="inlineStr">
        <is>
          <t>Example account. Use your chart of accounts.</t>
        </is>
      </c>
    </row>
    <row r="7">
      <c r="A7" s="6" t="inlineStr">
        <is>
          <t>Clearing or accrual account (credit)</t>
        </is>
      </c>
      <c r="B7" s="7" t="inlineStr">
        <is>
          <t>2150 AI tools accrual</t>
        </is>
      </c>
      <c r="C7" s="8" t="inlineStr">
        <is>
          <t>Example account. Use your chart of accounts.</t>
        </is>
      </c>
    </row>
    <row r="9">
      <c r="A9" s="10" t="inlineStr">
        <is>
          <t>Seat prices (per seat per month, USD)</t>
        </is>
      </c>
    </row>
    <row r="10" ht="32" customHeight="1">
      <c r="A10" s="11" t="inlineStr">
        <is>
          <t>Tool</t>
        </is>
      </c>
      <c r="B10" s="11" t="inlineStr">
        <is>
          <t>Plan tier</t>
        </is>
      </c>
      <c r="C10" s="11" t="inlineStr">
        <is>
          <t>Price per seat / month ($)</t>
        </is>
      </c>
      <c r="D10" s="11" t="inlineStr">
        <is>
          <t>Lookup key (formula)</t>
        </is>
      </c>
      <c r="E10" s="11" t="inlineStr">
        <is>
          <t>Source or note</t>
        </is>
      </c>
    </row>
    <row r="11">
      <c r="A11" s="12" t="inlineStr">
        <is>
          <t>Claude Code</t>
        </is>
      </c>
      <c r="B11" s="12" t="inlineStr">
        <is>
          <t>Team Standard (monthly)</t>
        </is>
      </c>
      <c r="C11" s="13" t="n">
        <v>25</v>
      </c>
      <c r="D11" s="14">
        <f>IF(A11="","",A11&amp;" - "&amp;B11)</f>
        <v/>
      </c>
      <c r="E11" s="8" t="inlineStr">
        <is>
          <t>claude.com/pricing. Team plan, 2 to 150 seats.</t>
        </is>
      </c>
    </row>
    <row r="12">
      <c r="A12" s="12" t="inlineStr">
        <is>
          <t>Claude Code</t>
        </is>
      </c>
      <c r="B12" s="12" t="inlineStr">
        <is>
          <t>Team Standard (annual)</t>
        </is>
      </c>
      <c r="C12" s="13" t="n">
        <v>20</v>
      </c>
      <c r="D12" s="14">
        <f>IF(A12="","",A12&amp;" - "&amp;B12)</f>
        <v/>
      </c>
      <c r="E12" s="8" t="inlineStr">
        <is>
          <t>claude.com/pricing. Billed annually.</t>
        </is>
      </c>
    </row>
    <row r="13">
      <c r="A13" s="12" t="inlineStr">
        <is>
          <t>Claude Code</t>
        </is>
      </c>
      <c r="B13" s="12" t="inlineStr">
        <is>
          <t>Team Premium (monthly)</t>
        </is>
      </c>
      <c r="C13" s="13" t="n">
        <v>125</v>
      </c>
      <c r="D13" s="14">
        <f>IF(A13="","",A13&amp;" - "&amp;B13)</f>
        <v/>
      </c>
      <c r="E13" s="8" t="inlineStr">
        <is>
          <t>claude.com/pricing. 5x Standard usage.</t>
        </is>
      </c>
    </row>
    <row r="14">
      <c r="A14" s="12" t="inlineStr">
        <is>
          <t>Claude Code</t>
        </is>
      </c>
      <c r="B14" s="12" t="inlineStr">
        <is>
          <t>Team Premium (annual)</t>
        </is>
      </c>
      <c r="C14" s="13" t="n">
        <v>100</v>
      </c>
      <c r="D14" s="14">
        <f>IF(A14="","",A14&amp;" - "&amp;B14)</f>
        <v/>
      </c>
      <c r="E14" s="8" t="inlineStr">
        <is>
          <t>claude.com/pricing. Billed annually.</t>
        </is>
      </c>
    </row>
    <row r="15">
      <c r="A15" s="12" t="inlineStr">
        <is>
          <t>Claude Code</t>
        </is>
      </c>
      <c r="B15" s="12" t="inlineStr">
        <is>
          <t>Enterprise seat</t>
        </is>
      </c>
      <c r="C15" s="13" t="n">
        <v>20</v>
      </c>
      <c r="D15" s="14">
        <f>IF(A15="","",A15&amp;" - "&amp;B15)</f>
        <v/>
      </c>
      <c r="E15" s="8" t="inlineStr">
        <is>
          <t>claude.com/pricing. Billed annually, 20-seat minimum, usage at API rates on top.</t>
        </is>
      </c>
    </row>
    <row r="16">
      <c r="A16" s="12" t="inlineStr">
        <is>
          <t>Claude Code</t>
        </is>
      </c>
      <c r="B16" s="12" t="inlineStr">
        <is>
          <t>API only (no seat)</t>
        </is>
      </c>
      <c r="C16" s="13" t="n">
        <v>0</v>
      </c>
      <c r="D16" s="14">
        <f>IF(A16="","",A16&amp;" - "&amp;B16)</f>
        <v/>
      </c>
      <c r="E16" s="8" t="inlineStr">
        <is>
          <t>Console or API-key billing: all cost is usage.</t>
        </is>
      </c>
    </row>
    <row r="17">
      <c r="A17" s="12" t="inlineStr">
        <is>
          <t>Cursor</t>
        </is>
      </c>
      <c r="B17" s="12" t="inlineStr">
        <is>
          <t>Teams Premium</t>
        </is>
      </c>
      <c r="C17" s="13" t="n">
        <v>30</v>
      </c>
      <c r="D17" s="14">
        <f>IF(A17="","",A17&amp;" - "&amp;B17)</f>
        <v/>
      </c>
      <c r="E17" s="8" t="inlineStr">
        <is>
          <t>cursor.com/docs/account/teams/pricing. Monthly.</t>
        </is>
      </c>
    </row>
    <row r="18">
      <c r="A18" s="12" t="inlineStr">
        <is>
          <t>Cursor</t>
        </is>
      </c>
      <c r="B18" s="12" t="inlineStr">
        <is>
          <t>Teams Super</t>
        </is>
      </c>
      <c r="C18" s="13" t="n">
        <v>100</v>
      </c>
      <c r="D18" s="14">
        <f>IF(A18="","",A18&amp;" - "&amp;B18)</f>
        <v/>
      </c>
      <c r="E18" s="8" t="inlineStr">
        <is>
          <t>cursor.com/docs/account/teams/pricing. 3.75x Premium pool.</t>
        </is>
      </c>
    </row>
    <row r="19">
      <c r="A19" s="12" t="inlineStr">
        <is>
          <t>Cursor</t>
        </is>
      </c>
      <c r="B19" s="12" t="inlineStr">
        <is>
          <t>Teams Ultra</t>
        </is>
      </c>
      <c r="C19" s="13" t="n">
        <v>200</v>
      </c>
      <c r="D19" s="14">
        <f>IF(A19="","",A19&amp;" - "&amp;B19)</f>
        <v/>
      </c>
      <c r="E19" s="8" t="inlineStr">
        <is>
          <t>cursor.com/docs/account/teams/pricing. 12.5x Premium pool.</t>
        </is>
      </c>
    </row>
    <row r="20">
      <c r="A20" s="12" t="inlineStr">
        <is>
          <t>GitHub Copilot</t>
        </is>
      </c>
      <c r="B20" s="12" t="inlineStr">
        <is>
          <t>Business</t>
        </is>
      </c>
      <c r="C20" s="13" t="n">
        <v>19</v>
      </c>
      <c r="D20" s="14">
        <f>IF(A20="","",A20&amp;" - "&amp;B20)</f>
        <v/>
      </c>
      <c r="E20" s="8" t="inlineStr">
        <is>
          <t>GitHub Docs. Includes 1,900 AI credits per user, pooled.</t>
        </is>
      </c>
    </row>
    <row r="21">
      <c r="A21" s="12" t="inlineStr">
        <is>
          <t>GitHub Copilot</t>
        </is>
      </c>
      <c r="B21" s="12" t="inlineStr">
        <is>
          <t>Enterprise</t>
        </is>
      </c>
      <c r="C21" s="13" t="n">
        <v>39</v>
      </c>
      <c r="D21" s="14">
        <f>IF(A21="","",A21&amp;" - "&amp;B21)</f>
        <v/>
      </c>
      <c r="E21" s="8" t="inlineStr">
        <is>
          <t>GitHub Docs. Includes 3,900 AI credits per user, pooled. Needs GitHub Enterprise Cloud.</t>
        </is>
      </c>
    </row>
    <row r="22">
      <c r="A22" s="12" t="n"/>
      <c r="B22" s="12" t="n"/>
      <c r="C22" s="13" t="n"/>
      <c r="D22" s="14">
        <f>IF(A22="","",A22&amp;" - "&amp;B22)</f>
        <v/>
      </c>
      <c r="E22" s="8" t="inlineStr">
        <is>
          <t>Spare row: add another tool or a negotiated tier.</t>
        </is>
      </c>
    </row>
    <row r="23">
      <c r="A23" s="12" t="n"/>
      <c r="B23" s="12" t="n"/>
      <c r="C23" s="13" t="n"/>
      <c r="D23" s="14">
        <f>IF(A23="","",A23&amp;" - "&amp;B23)</f>
        <v/>
      </c>
      <c r="E23" s="8" t="inlineStr">
        <is>
          <t>Spare row: add another tool or a negotiated tier.</t>
        </is>
      </c>
    </row>
    <row r="24">
      <c r="A24" s="12" t="n"/>
      <c r="B24" s="12" t="n"/>
      <c r="C24" s="13" t="n"/>
      <c r="D24" s="14">
        <f>IF(A24="","",A24&amp;" - "&amp;B24)</f>
        <v/>
      </c>
      <c r="E24" s="8" t="inlineStr">
        <is>
          <t>Spare row: add another tool or a negotiated tier.</t>
        </is>
      </c>
    </row>
    <row r="25">
      <c r="A25" s="12" t="n"/>
      <c r="B25" s="12" t="n"/>
      <c r="C25" s="13" t="n"/>
      <c r="D25" s="14">
        <f>IF(A25="","",A25&amp;" - "&amp;B25)</f>
        <v/>
      </c>
      <c r="E25" s="8" t="inlineStr">
        <is>
          <t>Spare row: add another tool or a negotiated tier.</t>
        </is>
      </c>
    </row>
    <row r="27">
      <c r="A27" s="10" t="inlineStr">
        <is>
          <t>This month's invoices (USD, before tax)</t>
        </is>
      </c>
    </row>
    <row r="28" ht="32" customHeight="1">
      <c r="A28" s="11" t="inlineStr">
        <is>
          <t>Tool</t>
        </is>
      </c>
      <c r="B28" s="11" t="inlineStr">
        <is>
          <t>Seat charges on invoice ($)</t>
        </is>
      </c>
      <c r="C28" s="11" t="inlineStr">
        <is>
          <t>Metered usage on invoice ($)</t>
        </is>
      </c>
      <c r="D28" s="11" t="inlineStr"/>
      <c r="E28" s="11" t="inlineStr">
        <is>
          <t>What counts as metered usage</t>
        </is>
      </c>
    </row>
    <row r="29">
      <c r="A29" s="6" t="inlineStr">
        <is>
          <t>Claude Code</t>
        </is>
      </c>
      <c r="B29" s="15" t="n">
        <v>420</v>
      </c>
      <c r="C29" s="15" t="n">
        <v>3120</v>
      </c>
      <c r="E29" s="4" t="inlineStr">
        <is>
          <t>Usage credits on Team or seat-based Enterprise, or API usage on Console or usage-based Enterprise. Allocated by each team's share of Ganivra's Claude Code cost.</t>
        </is>
      </c>
    </row>
    <row r="30">
      <c r="A30" s="6" t="inlineStr">
        <is>
          <t>Cursor</t>
        </is>
      </c>
      <c r="B30" s="15" t="n">
        <v>220</v>
      </c>
      <c r="C30" s="15" t="n">
        <v>178.75</v>
      </c>
      <c r="E30" s="4" t="inlineStr">
        <is>
          <t>Additional usage paid from the shared team balance (third-party models, and Cursor models after a seat's weekly pool). Allocated by each person's chargedCents.</t>
        </is>
      </c>
    </row>
    <row r="31">
      <c r="A31" s="6" t="inlineStr">
        <is>
          <t>GitHub Copilot</t>
        </is>
      </c>
      <c r="B31" s="15" t="n">
        <v>86.81</v>
      </c>
      <c r="C31" s="15" t="n">
        <v>25</v>
      </c>
      <c r="E31" s="4" t="inlineStr">
        <is>
          <t>AI credits used beyond the pooled included allowance, at $0.01 per credit. Allocated by each person's AI credit usage.</t>
        </is>
      </c>
    </row>
    <row r="33">
      <c r="A33" s="8" t="inlineStr">
        <is>
          <t>Leave metered usage blank to charge measured usage as-is (an estimate). Enter it to make allocated usage sum exactly to the invoice.</t>
        </is>
      </c>
    </row>
    <row r="34">
      <c r="A34" s="8" t="inlineStr">
        <is>
          <t>Example invoice amounts are illustrative. Replace them with your invoices.</t>
        </is>
      </c>
    </row>
  </sheetData>
  <dataValidations count="1">
    <dataValidation sqref="B5" showDropDown="0" showInputMessage="0" showErrorMessage="0"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4"/>
  <sheetViews>
    <sheetView showGridLines="1" workbookViewId="0">
      <pane ySplit="4" topLeftCell="A5" activePane="bottomLeft" state="frozen"/>
      <selection pane="bottomLeft" activeCell="A1" sqref="A1"/>
    </sheetView>
  </sheetViews>
  <sheetFormatPr baseColWidth="8" defaultRowHeight="15"/>
  <cols>
    <col width="18" customWidth="1" min="1" max="1"/>
    <col width="24" customWidth="1" min="2" max="2"/>
    <col width="18" customWidth="1" min="3" max="3"/>
    <col width="28" customWidth="1" min="4" max="4"/>
    <col width="22" customWidth="1" min="5" max="5"/>
    <col width="14" customWidth="1" min="6" max="6"/>
  </cols>
  <sheetData>
    <row r="1">
      <c r="A1" s="5" t="inlineStr">
        <is>
          <t>Teams and cost centres</t>
        </is>
      </c>
    </row>
    <row r="2">
      <c r="A2" s="8" t="inlineStr">
        <is>
          <t>Team key must match the team value in Ganivra and the roster exactly (case-sensitive, no spaces). One row per team; several teams can map to one cost centre.</t>
        </is>
      </c>
    </row>
    <row r="4" ht="32" customHeight="1">
      <c r="A4" s="11" t="inlineStr">
        <is>
          <t>Team key</t>
        </is>
      </c>
      <c r="B4" s="11" t="inlineStr">
        <is>
          <t>Team name</t>
        </is>
      </c>
      <c r="C4" s="11" t="inlineStr">
        <is>
          <t>Cost centre code</t>
        </is>
      </c>
      <c r="D4" s="11" t="inlineStr">
        <is>
          <t>Cost centre name</t>
        </is>
      </c>
      <c r="E4" s="11" t="inlineStr">
        <is>
          <t>Budget owner</t>
        </is>
      </c>
      <c r="F4" s="11" t="inlineStr">
        <is>
          <t>Engineers (headcount)</t>
        </is>
      </c>
    </row>
    <row r="5">
      <c r="A5" s="16" t="inlineStr">
        <is>
          <t>payments</t>
        </is>
      </c>
      <c r="B5" s="16" t="inlineStr">
        <is>
          <t>Payments</t>
        </is>
      </c>
      <c r="C5" s="16" t="inlineStr">
        <is>
          <t>CC-4100</t>
        </is>
      </c>
      <c r="D5" s="16" t="inlineStr">
        <is>
          <t>Payments Engineering</t>
        </is>
      </c>
      <c r="E5" s="16" t="inlineStr">
        <is>
          <t>Head of Payments</t>
        </is>
      </c>
      <c r="F5" s="17" t="n">
        <v>6</v>
      </c>
    </row>
    <row r="6">
      <c r="A6" s="16" t="inlineStr">
        <is>
          <t>platform</t>
        </is>
      </c>
      <c r="B6" s="16" t="inlineStr">
        <is>
          <t>Platform</t>
        </is>
      </c>
      <c r="C6" s="16" t="inlineStr">
        <is>
          <t>CC-4200</t>
        </is>
      </c>
      <c r="D6" s="16" t="inlineStr">
        <is>
          <t>Platform &amp; Infrastructure</t>
        </is>
      </c>
      <c r="E6" s="16" t="inlineStr">
        <is>
          <t>Head of Platform</t>
        </is>
      </c>
      <c r="F6" s="17" t="n">
        <v>5</v>
      </c>
    </row>
    <row r="7">
      <c r="A7" s="16" t="inlineStr">
        <is>
          <t>mobile</t>
        </is>
      </c>
      <c r="B7" s="16" t="inlineStr">
        <is>
          <t>Mobile</t>
        </is>
      </c>
      <c r="C7" s="16" t="inlineStr">
        <is>
          <t>CC-4300</t>
        </is>
      </c>
      <c r="D7" s="16" t="inlineStr">
        <is>
          <t>Mobile Apps</t>
        </is>
      </c>
      <c r="E7" s="16" t="inlineStr">
        <is>
          <t>Head of Mobile</t>
        </is>
      </c>
      <c r="F7" s="17" t="n">
        <v>4</v>
      </c>
    </row>
    <row r="8">
      <c r="A8" s="16" t="inlineStr">
        <is>
          <t>data</t>
        </is>
      </c>
      <c r="B8" s="16" t="inlineStr">
        <is>
          <t>Data</t>
        </is>
      </c>
      <c r="C8" s="16" t="inlineStr">
        <is>
          <t>CC-4400</t>
        </is>
      </c>
      <c r="D8" s="16" t="inlineStr">
        <is>
          <t>Data &amp; ML</t>
        </is>
      </c>
      <c r="E8" s="16" t="inlineStr">
        <is>
          <t>Head of Data</t>
        </is>
      </c>
      <c r="F8" s="17" t="n">
        <v>3</v>
      </c>
    </row>
    <row r="9">
      <c r="A9" s="12" t="n"/>
      <c r="B9" s="12" t="n"/>
      <c r="C9" s="12" t="n"/>
      <c r="D9" s="12" t="n"/>
      <c r="E9" s="12" t="n"/>
      <c r="F9" s="18" t="n"/>
    </row>
    <row r="10">
      <c r="A10" s="12" t="n"/>
      <c r="B10" s="12" t="n"/>
      <c r="C10" s="12" t="n"/>
      <c r="D10" s="12" t="n"/>
      <c r="E10" s="12" t="n"/>
      <c r="F10" s="18" t="n"/>
    </row>
    <row r="11">
      <c r="A11" s="12" t="n"/>
      <c r="B11" s="12" t="n"/>
      <c r="C11" s="12" t="n"/>
      <c r="D11" s="12" t="n"/>
      <c r="E11" s="12" t="n"/>
      <c r="F11" s="18" t="n"/>
    </row>
    <row r="12">
      <c r="A12" s="12" t="n"/>
      <c r="B12" s="12" t="n"/>
      <c r="C12" s="12" t="n"/>
      <c r="D12" s="12" t="n"/>
      <c r="E12" s="12" t="n"/>
      <c r="F12" s="18" t="n"/>
    </row>
    <row r="13">
      <c r="A13" s="12" t="n"/>
      <c r="B13" s="12" t="n"/>
      <c r="C13" s="12" t="n"/>
      <c r="D13" s="12" t="n"/>
      <c r="E13" s="12" t="n"/>
      <c r="F13" s="18" t="n"/>
    </row>
    <row r="14">
      <c r="A14" s="12" t="n"/>
      <c r="B14" s="12" t="n"/>
      <c r="C14" s="12" t="n"/>
      <c r="D14" s="12" t="n"/>
      <c r="E14" s="12" t="n"/>
      <c r="F14" s="18" t="n"/>
    </row>
    <row r="15">
      <c r="A15" s="12" t="n"/>
      <c r="B15" s="12" t="n"/>
      <c r="C15" s="12" t="n"/>
      <c r="D15" s="12" t="n"/>
      <c r="E15" s="12" t="n"/>
      <c r="F15" s="18" t="n"/>
    </row>
    <row r="16">
      <c r="A16" s="12" t="n"/>
      <c r="B16" s="12" t="n"/>
      <c r="C16" s="12" t="n"/>
      <c r="D16" s="12" t="n"/>
      <c r="E16" s="12" t="n"/>
      <c r="F16" s="18" t="n"/>
    </row>
    <row r="17">
      <c r="A17" s="12" t="n"/>
      <c r="B17" s="12" t="n"/>
      <c r="C17" s="12" t="n"/>
      <c r="D17" s="12" t="n"/>
      <c r="E17" s="12" t="n"/>
      <c r="F17" s="18" t="n"/>
    </row>
    <row r="18">
      <c r="A18" s="12" t="n"/>
      <c r="B18" s="12" t="n"/>
      <c r="C18" s="12" t="n"/>
      <c r="D18" s="12" t="n"/>
      <c r="E18" s="12" t="n"/>
      <c r="F18" s="18" t="n"/>
    </row>
    <row r="19">
      <c r="A19" s="12" t="n"/>
      <c r="B19" s="12" t="n"/>
      <c r="C19" s="12" t="n"/>
      <c r="D19" s="12" t="n"/>
      <c r="E19" s="12" t="n"/>
      <c r="F19" s="18" t="n"/>
    </row>
    <row r="20">
      <c r="A20" s="12" t="n"/>
      <c r="B20" s="12" t="n"/>
      <c r="C20" s="12" t="n"/>
      <c r="D20" s="12" t="n"/>
      <c r="E20" s="12" t="n"/>
      <c r="F20" s="18" t="n"/>
    </row>
    <row r="21">
      <c r="A21" s="12" t="n"/>
      <c r="B21" s="12" t="n"/>
      <c r="C21" s="12" t="n"/>
      <c r="D21" s="12" t="n"/>
      <c r="E21" s="12" t="n"/>
      <c r="F21" s="18" t="n"/>
    </row>
    <row r="22">
      <c r="A22" s="12" t="n"/>
      <c r="B22" s="12" t="n"/>
      <c r="C22" s="12" t="n"/>
      <c r="D22" s="12" t="n"/>
      <c r="E22" s="12" t="n"/>
      <c r="F22" s="18" t="n"/>
    </row>
    <row r="23">
      <c r="A23" s="12" t="n"/>
      <c r="B23" s="12" t="n"/>
      <c r="C23" s="12" t="n"/>
      <c r="D23" s="12" t="n"/>
      <c r="E23" s="12" t="n"/>
      <c r="F23" s="18" t="n"/>
    </row>
    <row r="24">
      <c r="A24" s="12" t="n"/>
      <c r="B24" s="12" t="n"/>
      <c r="C24" s="12" t="n"/>
      <c r="D24" s="12" t="n"/>
      <c r="E24" s="12" t="n"/>
      <c r="F24" s="18" t="n"/>
    </row>
    <row r="25">
      <c r="A25" s="12" t="n"/>
      <c r="B25" s="12" t="n"/>
      <c r="C25" s="12" t="n"/>
      <c r="D25" s="12" t="n"/>
      <c r="E25" s="12" t="n"/>
      <c r="F25" s="18" t="n"/>
    </row>
    <row r="26">
      <c r="A26" s="12" t="n"/>
      <c r="B26" s="12" t="n"/>
      <c r="C26" s="12" t="n"/>
      <c r="D26" s="12" t="n"/>
      <c r="E26" s="12" t="n"/>
      <c r="F26" s="18" t="n"/>
    </row>
    <row r="27">
      <c r="A27" s="12" t="n"/>
      <c r="B27" s="12" t="n"/>
      <c r="C27" s="12" t="n"/>
      <c r="D27" s="12" t="n"/>
      <c r="E27" s="12" t="n"/>
      <c r="F27" s="18" t="n"/>
    </row>
    <row r="28">
      <c r="A28" s="12" t="n"/>
      <c r="B28" s="12" t="n"/>
      <c r="C28" s="12" t="n"/>
      <c r="D28" s="12" t="n"/>
      <c r="E28" s="12" t="n"/>
      <c r="F28" s="18" t="n"/>
    </row>
    <row r="29">
      <c r="A29" s="12" t="n"/>
      <c r="B29" s="12" t="n"/>
      <c r="C29" s="12" t="n"/>
      <c r="D29" s="12" t="n"/>
      <c r="E29" s="12" t="n"/>
      <c r="F29" s="18" t="n"/>
    </row>
    <row r="30">
      <c r="A30" s="12" t="n"/>
      <c r="B30" s="12" t="n"/>
      <c r="C30" s="12" t="n"/>
      <c r="D30" s="12" t="n"/>
      <c r="E30" s="12" t="n"/>
      <c r="F30" s="18" t="n"/>
    </row>
    <row r="31">
      <c r="A31" s="12" t="n"/>
      <c r="B31" s="12" t="n"/>
      <c r="C31" s="12" t="n"/>
      <c r="D31" s="12" t="n"/>
      <c r="E31" s="12" t="n"/>
      <c r="F31" s="18" t="n"/>
    </row>
    <row r="32">
      <c r="A32" s="12" t="n"/>
      <c r="B32" s="12" t="n"/>
      <c r="C32" s="12" t="n"/>
      <c r="D32" s="12" t="n"/>
      <c r="E32" s="12" t="n"/>
      <c r="F32" s="18" t="n"/>
    </row>
    <row r="33">
      <c r="A33" s="12" t="n"/>
      <c r="B33" s="12" t="n"/>
      <c r="C33" s="12" t="n"/>
      <c r="D33" s="12" t="n"/>
      <c r="E33" s="12" t="n"/>
      <c r="F33" s="18" t="n"/>
    </row>
    <row r="34">
      <c r="A34" s="12" t="n"/>
      <c r="B34" s="12" t="n"/>
      <c r="C34" s="12" t="n"/>
      <c r="D34" s="12" t="n"/>
      <c r="E34" s="12" t="n"/>
      <c r="F34" s="18" t="n"/>
    </row>
    <row r="35">
      <c r="A35" s="12" t="n"/>
      <c r="B35" s="12" t="n"/>
      <c r="C35" s="12" t="n"/>
      <c r="D35" s="12" t="n"/>
      <c r="E35" s="12" t="n"/>
      <c r="F35" s="18" t="n"/>
    </row>
    <row r="36">
      <c r="A36" s="12" t="n"/>
      <c r="B36" s="12" t="n"/>
      <c r="C36" s="12" t="n"/>
      <c r="D36" s="12" t="n"/>
      <c r="E36" s="12" t="n"/>
      <c r="F36" s="18" t="n"/>
    </row>
    <row r="37">
      <c r="A37" s="12" t="n"/>
      <c r="B37" s="12" t="n"/>
      <c r="C37" s="12" t="n"/>
      <c r="D37" s="12" t="n"/>
      <c r="E37" s="12" t="n"/>
      <c r="F37" s="18" t="n"/>
    </row>
    <row r="38">
      <c r="A38" s="12" t="n"/>
      <c r="B38" s="12" t="n"/>
      <c r="C38" s="12" t="n"/>
      <c r="D38" s="12" t="n"/>
      <c r="E38" s="12" t="n"/>
      <c r="F38" s="18" t="n"/>
    </row>
    <row r="39">
      <c r="A39" s="12" t="n"/>
      <c r="B39" s="12" t="n"/>
      <c r="C39" s="12" t="n"/>
      <c r="D39" s="12" t="n"/>
      <c r="E39" s="12" t="n"/>
      <c r="F39" s="18" t="n"/>
    </row>
    <row r="40">
      <c r="A40" s="12" t="n"/>
      <c r="B40" s="12" t="n"/>
      <c r="C40" s="12" t="n"/>
      <c r="D40" s="12" t="n"/>
      <c r="E40" s="12" t="n"/>
      <c r="F40" s="18" t="n"/>
    </row>
    <row r="41">
      <c r="A41" s="12" t="n"/>
      <c r="B41" s="12" t="n"/>
      <c r="C41" s="12" t="n"/>
      <c r="D41" s="12" t="n"/>
      <c r="E41" s="12" t="n"/>
      <c r="F41" s="18" t="n"/>
    </row>
    <row r="42">
      <c r="A42" s="12" t="n"/>
      <c r="B42" s="12" t="n"/>
      <c r="C42" s="12" t="n"/>
      <c r="D42" s="12" t="n"/>
      <c r="E42" s="12" t="n"/>
      <c r="F42" s="18" t="n"/>
    </row>
    <row r="43">
      <c r="A43" s="12" t="n"/>
      <c r="B43" s="12" t="n"/>
      <c r="C43" s="12" t="n"/>
      <c r="D43" s="12" t="n"/>
      <c r="E43" s="12" t="n"/>
      <c r="F43" s="18" t="n"/>
    </row>
    <row r="44">
      <c r="A44" s="12" t="n"/>
      <c r="B44" s="12" t="n"/>
      <c r="C44" s="12" t="n"/>
      <c r="D44" s="12" t="n"/>
      <c r="E44" s="12" t="n"/>
      <c r="F44" s="18" t="n"/>
    </row>
    <row r="45">
      <c r="A45" s="12" t="n"/>
      <c r="B45" s="12" t="n"/>
      <c r="C45" s="12" t="n"/>
      <c r="D45" s="12" t="n"/>
      <c r="E45" s="12" t="n"/>
      <c r="F45" s="18" t="n"/>
    </row>
    <row r="46">
      <c r="A46" s="12" t="n"/>
      <c r="B46" s="12" t="n"/>
      <c r="C46" s="12" t="n"/>
      <c r="D46" s="12" t="n"/>
      <c r="E46" s="12" t="n"/>
      <c r="F46" s="18" t="n"/>
    </row>
    <row r="47">
      <c r="A47" s="12" t="n"/>
      <c r="B47" s="12" t="n"/>
      <c r="C47" s="12" t="n"/>
      <c r="D47" s="12" t="n"/>
      <c r="E47" s="12" t="n"/>
      <c r="F47" s="18" t="n"/>
    </row>
    <row r="48">
      <c r="A48" s="12" t="n"/>
      <c r="B48" s="12" t="n"/>
      <c r="C48" s="12" t="n"/>
      <c r="D48" s="12" t="n"/>
      <c r="E48" s="12" t="n"/>
      <c r="F48" s="18" t="n"/>
    </row>
    <row r="49">
      <c r="A49" s="12" t="n"/>
      <c r="B49" s="12" t="n"/>
      <c r="C49" s="12" t="n"/>
      <c r="D49" s="12" t="n"/>
      <c r="E49" s="12" t="n"/>
      <c r="F49" s="18" t="n"/>
    </row>
    <row r="50">
      <c r="A50" s="12" t="n"/>
      <c r="B50" s="12" t="n"/>
      <c r="C50" s="12" t="n"/>
      <c r="D50" s="12" t="n"/>
      <c r="E50" s="12" t="n"/>
      <c r="F50" s="18" t="n"/>
    </row>
    <row r="51">
      <c r="A51" s="12" t="n"/>
      <c r="B51" s="12" t="n"/>
      <c r="C51" s="12" t="n"/>
      <c r="D51" s="12" t="n"/>
      <c r="E51" s="12" t="n"/>
      <c r="F51" s="18" t="n"/>
    </row>
    <row r="52">
      <c r="A52" s="12" t="n"/>
      <c r="B52" s="12" t="n"/>
      <c r="C52" s="12" t="n"/>
      <c r="D52" s="12" t="n"/>
      <c r="E52" s="12" t="n"/>
      <c r="F52" s="18" t="n"/>
    </row>
    <row r="53">
      <c r="A53" s="12" t="n"/>
      <c r="B53" s="12" t="n"/>
      <c r="C53" s="12" t="n"/>
      <c r="D53" s="12" t="n"/>
      <c r="E53" s="12" t="n"/>
      <c r="F53" s="18" t="n"/>
    </row>
    <row r="54">
      <c r="A54" s="12" t="n"/>
      <c r="B54" s="12" t="n"/>
      <c r="C54" s="12" t="n"/>
      <c r="D54" s="12" t="n"/>
      <c r="E54" s="12" t="n"/>
      <c r="F54" s="18" t="n"/>
    </row>
    <row r="55">
      <c r="A55" s="12" t="n"/>
      <c r="B55" s="12" t="n"/>
      <c r="C55" s="12" t="n"/>
      <c r="D55" s="12" t="n"/>
      <c r="E55" s="12" t="n"/>
      <c r="F55" s="18" t="n"/>
    </row>
    <row r="56">
      <c r="A56" s="12" t="n"/>
      <c r="B56" s="12" t="n"/>
      <c r="C56" s="12" t="n"/>
      <c r="D56" s="12" t="n"/>
      <c r="E56" s="12" t="n"/>
      <c r="F56" s="18" t="n"/>
    </row>
    <row r="57">
      <c r="A57" s="12" t="n"/>
      <c r="B57" s="12" t="n"/>
      <c r="C57" s="12" t="n"/>
      <c r="D57" s="12" t="n"/>
      <c r="E57" s="12" t="n"/>
      <c r="F57" s="18" t="n"/>
    </row>
    <row r="58">
      <c r="A58" s="12" t="n"/>
      <c r="B58" s="12" t="n"/>
      <c r="C58" s="12" t="n"/>
      <c r="D58" s="12" t="n"/>
      <c r="E58" s="12" t="n"/>
      <c r="F58" s="18" t="n"/>
    </row>
    <row r="59">
      <c r="A59" s="12" t="n"/>
      <c r="B59" s="12" t="n"/>
      <c r="C59" s="12" t="n"/>
      <c r="D59" s="12" t="n"/>
      <c r="E59" s="12" t="n"/>
      <c r="F59" s="18" t="n"/>
    </row>
    <row r="60">
      <c r="A60" s="12" t="n"/>
      <c r="B60" s="12" t="n"/>
      <c r="C60" s="12" t="n"/>
      <c r="D60" s="12" t="n"/>
      <c r="E60" s="12" t="n"/>
      <c r="F60" s="18" t="n"/>
    </row>
    <row r="61">
      <c r="A61" s="12" t="n"/>
      <c r="B61" s="12" t="n"/>
      <c r="C61" s="12" t="n"/>
      <c r="D61" s="12" t="n"/>
      <c r="E61" s="12" t="n"/>
      <c r="F61" s="18" t="n"/>
    </row>
    <row r="62">
      <c r="A62" s="12" t="n"/>
      <c r="B62" s="12" t="n"/>
      <c r="C62" s="12" t="n"/>
      <c r="D62" s="12" t="n"/>
      <c r="E62" s="12" t="n"/>
      <c r="F62" s="18" t="n"/>
    </row>
    <row r="63">
      <c r="A63" s="12" t="n"/>
      <c r="B63" s="12" t="n"/>
      <c r="C63" s="12" t="n"/>
      <c r="D63" s="12" t="n"/>
      <c r="E63" s="12" t="n"/>
      <c r="F63" s="18" t="n"/>
    </row>
    <row r="64">
      <c r="A64" s="12" t="n"/>
      <c r="B64" s="12" t="n"/>
      <c r="C64" s="12" t="n"/>
      <c r="D64" s="12" t="n"/>
      <c r="E64" s="12" t="n"/>
      <c r="F64" s="18" t="n"/>
    </row>
    <row r="65">
      <c r="A65" s="12" t="n"/>
      <c r="B65" s="12" t="n"/>
      <c r="C65" s="12" t="n"/>
      <c r="D65" s="12" t="n"/>
      <c r="E65" s="12" t="n"/>
      <c r="F65" s="18" t="n"/>
    </row>
    <row r="66">
      <c r="A66" s="12" t="n"/>
      <c r="B66" s="12" t="n"/>
      <c r="C66" s="12" t="n"/>
      <c r="D66" s="12" t="n"/>
      <c r="E66" s="12" t="n"/>
      <c r="F66" s="18" t="n"/>
    </row>
    <row r="67">
      <c r="A67" s="12" t="n"/>
      <c r="B67" s="12" t="n"/>
      <c r="C67" s="12" t="n"/>
      <c r="D67" s="12" t="n"/>
      <c r="E67" s="12" t="n"/>
      <c r="F67" s="18" t="n"/>
    </row>
    <row r="68">
      <c r="A68" s="12" t="n"/>
      <c r="B68" s="12" t="n"/>
      <c r="C68" s="12" t="n"/>
      <c r="D68" s="12" t="n"/>
      <c r="E68" s="12" t="n"/>
      <c r="F68" s="18" t="n"/>
    </row>
    <row r="69">
      <c r="A69" s="12" t="n"/>
      <c r="B69" s="12" t="n"/>
      <c r="C69" s="12" t="n"/>
      <c r="D69" s="12" t="n"/>
      <c r="E69" s="12" t="n"/>
      <c r="F69" s="18" t="n"/>
    </row>
    <row r="70">
      <c r="A70" s="12" t="n"/>
      <c r="B70" s="12" t="n"/>
      <c r="C70" s="12" t="n"/>
      <c r="D70" s="12" t="n"/>
      <c r="E70" s="12" t="n"/>
      <c r="F70" s="18" t="n"/>
    </row>
    <row r="71">
      <c r="A71" s="12" t="n"/>
      <c r="B71" s="12" t="n"/>
      <c r="C71" s="12" t="n"/>
      <c r="D71" s="12" t="n"/>
      <c r="E71" s="12" t="n"/>
      <c r="F71" s="18" t="n"/>
    </row>
    <row r="72">
      <c r="A72" s="12" t="n"/>
      <c r="B72" s="12" t="n"/>
      <c r="C72" s="12" t="n"/>
      <c r="D72" s="12" t="n"/>
      <c r="E72" s="12" t="n"/>
      <c r="F72" s="18" t="n"/>
    </row>
    <row r="73">
      <c r="A73" s="12" t="n"/>
      <c r="B73" s="12" t="n"/>
      <c r="C73" s="12" t="n"/>
      <c r="D73" s="12" t="n"/>
      <c r="E73" s="12" t="n"/>
      <c r="F73" s="18" t="n"/>
    </row>
    <row r="74">
      <c r="A74" s="12" t="n"/>
      <c r="B74" s="12" t="n"/>
      <c r="C74" s="12" t="n"/>
      <c r="D74" s="12" t="n"/>
      <c r="E74" s="12" t="n"/>
      <c r="F74" s="18" t="n"/>
    </row>
    <row r="75">
      <c r="A75" s="12" t="n"/>
      <c r="B75" s="12" t="n"/>
      <c r="C75" s="12" t="n"/>
      <c r="D75" s="12" t="n"/>
      <c r="E75" s="12" t="n"/>
      <c r="F75" s="18" t="n"/>
    </row>
    <row r="76">
      <c r="A76" s="12" t="n"/>
      <c r="B76" s="12" t="n"/>
      <c r="C76" s="12" t="n"/>
      <c r="D76" s="12" t="n"/>
      <c r="E76" s="12" t="n"/>
      <c r="F76" s="18" t="n"/>
    </row>
    <row r="77">
      <c r="A77" s="12" t="n"/>
      <c r="B77" s="12" t="n"/>
      <c r="C77" s="12" t="n"/>
      <c r="D77" s="12" t="n"/>
      <c r="E77" s="12" t="n"/>
      <c r="F77" s="18" t="n"/>
    </row>
    <row r="78">
      <c r="A78" s="12" t="n"/>
      <c r="B78" s="12" t="n"/>
      <c r="C78" s="12" t="n"/>
      <c r="D78" s="12" t="n"/>
      <c r="E78" s="12" t="n"/>
      <c r="F78" s="18" t="n"/>
    </row>
    <row r="79">
      <c r="A79" s="12" t="n"/>
      <c r="B79" s="12" t="n"/>
      <c r="C79" s="12" t="n"/>
      <c r="D79" s="12" t="n"/>
      <c r="E79" s="12" t="n"/>
      <c r="F79" s="18" t="n"/>
    </row>
    <row r="80">
      <c r="A80" s="12" t="n"/>
      <c r="B80" s="12" t="n"/>
      <c r="C80" s="12" t="n"/>
      <c r="D80" s="12" t="n"/>
      <c r="E80" s="12" t="n"/>
      <c r="F80" s="18" t="n"/>
    </row>
    <row r="81">
      <c r="A81" s="12" t="n"/>
      <c r="B81" s="12" t="n"/>
      <c r="C81" s="12" t="n"/>
      <c r="D81" s="12" t="n"/>
      <c r="E81" s="12" t="n"/>
      <c r="F81" s="18" t="n"/>
    </row>
    <row r="82">
      <c r="A82" s="12" t="n"/>
      <c r="B82" s="12" t="n"/>
      <c r="C82" s="12" t="n"/>
      <c r="D82" s="12" t="n"/>
      <c r="E82" s="12" t="n"/>
      <c r="F82" s="18" t="n"/>
    </row>
    <row r="83">
      <c r="A83" s="12" t="n"/>
      <c r="B83" s="12" t="n"/>
      <c r="C83" s="12" t="n"/>
      <c r="D83" s="12" t="n"/>
      <c r="E83" s="12" t="n"/>
      <c r="F83" s="18" t="n"/>
    </row>
    <row r="84">
      <c r="A84" s="12" t="n"/>
      <c r="B84" s="12" t="n"/>
      <c r="C84" s="12" t="n"/>
      <c r="D84" s="12" t="n"/>
      <c r="E84" s="12" t="n"/>
      <c r="F84" s="18" t="n"/>
    </row>
    <row r="85">
      <c r="A85" s="12" t="n"/>
      <c r="B85" s="12" t="n"/>
      <c r="C85" s="12" t="n"/>
      <c r="D85" s="12" t="n"/>
      <c r="E85" s="12" t="n"/>
      <c r="F85" s="18" t="n"/>
    </row>
    <row r="86">
      <c r="A86" s="12" t="n"/>
      <c r="B86" s="12" t="n"/>
      <c r="C86" s="12" t="n"/>
      <c r="D86" s="12" t="n"/>
      <c r="E86" s="12" t="n"/>
      <c r="F86" s="18" t="n"/>
    </row>
    <row r="87">
      <c r="A87" s="12" t="n"/>
      <c r="B87" s="12" t="n"/>
      <c r="C87" s="12" t="n"/>
      <c r="D87" s="12" t="n"/>
      <c r="E87" s="12" t="n"/>
      <c r="F87" s="18" t="n"/>
    </row>
    <row r="88">
      <c r="A88" s="12" t="n"/>
      <c r="B88" s="12" t="n"/>
      <c r="C88" s="12" t="n"/>
      <c r="D88" s="12" t="n"/>
      <c r="E88" s="12" t="n"/>
      <c r="F88" s="18" t="n"/>
    </row>
    <row r="89">
      <c r="A89" s="12" t="n"/>
      <c r="B89" s="12" t="n"/>
      <c r="C89" s="12" t="n"/>
      <c r="D89" s="12" t="n"/>
      <c r="E89" s="12" t="n"/>
      <c r="F89" s="18" t="n"/>
    </row>
    <row r="90">
      <c r="A90" s="12" t="n"/>
      <c r="B90" s="12" t="n"/>
      <c r="C90" s="12" t="n"/>
      <c r="D90" s="12" t="n"/>
      <c r="E90" s="12" t="n"/>
      <c r="F90" s="18" t="n"/>
    </row>
    <row r="91">
      <c r="A91" s="12" t="n"/>
      <c r="B91" s="12" t="n"/>
      <c r="C91" s="12" t="n"/>
      <c r="D91" s="12" t="n"/>
      <c r="E91" s="12" t="n"/>
      <c r="F91" s="18" t="n"/>
    </row>
    <row r="92">
      <c r="A92" s="12" t="n"/>
      <c r="B92" s="12" t="n"/>
      <c r="C92" s="12" t="n"/>
      <c r="D92" s="12" t="n"/>
      <c r="E92" s="12" t="n"/>
      <c r="F92" s="18" t="n"/>
    </row>
    <row r="93">
      <c r="A93" s="12" t="n"/>
      <c r="B93" s="12" t="n"/>
      <c r="C93" s="12" t="n"/>
      <c r="D93" s="12" t="n"/>
      <c r="E93" s="12" t="n"/>
      <c r="F93" s="18" t="n"/>
    </row>
    <row r="94">
      <c r="A94" s="12" t="n"/>
      <c r="B94" s="12" t="n"/>
      <c r="C94" s="12" t="n"/>
      <c r="D94" s="12" t="n"/>
      <c r="E94" s="12" t="n"/>
      <c r="F94" s="18" t="n"/>
    </row>
    <row r="95">
      <c r="A95" s="12" t="n"/>
      <c r="B95" s="12" t="n"/>
      <c r="C95" s="12" t="n"/>
      <c r="D95" s="12" t="n"/>
      <c r="E95" s="12" t="n"/>
      <c r="F95" s="18" t="n"/>
    </row>
    <row r="96">
      <c r="A96" s="12" t="n"/>
      <c r="B96" s="12" t="n"/>
      <c r="C96" s="12" t="n"/>
      <c r="D96" s="12" t="n"/>
      <c r="E96" s="12" t="n"/>
      <c r="F96" s="18" t="n"/>
    </row>
    <row r="97">
      <c r="A97" s="12" t="n"/>
      <c r="B97" s="12" t="n"/>
      <c r="C97" s="12" t="n"/>
      <c r="D97" s="12" t="n"/>
      <c r="E97" s="12" t="n"/>
      <c r="F97" s="18" t="n"/>
    </row>
    <row r="98">
      <c r="A98" s="12" t="n"/>
      <c r="B98" s="12" t="n"/>
      <c r="C98" s="12" t="n"/>
      <c r="D98" s="12" t="n"/>
      <c r="E98" s="12" t="n"/>
      <c r="F98" s="18" t="n"/>
    </row>
    <row r="99">
      <c r="A99" s="12" t="n"/>
      <c r="B99" s="12" t="n"/>
      <c r="C99" s="12" t="n"/>
      <c r="D99" s="12" t="n"/>
      <c r="E99" s="12" t="n"/>
      <c r="F99" s="18" t="n"/>
    </row>
    <row r="100">
      <c r="A100" s="12" t="n"/>
      <c r="B100" s="12" t="n"/>
      <c r="C100" s="12" t="n"/>
      <c r="D100" s="12" t="n"/>
      <c r="E100" s="12" t="n"/>
      <c r="F100" s="18" t="n"/>
    </row>
    <row r="101">
      <c r="A101" s="12" t="n"/>
      <c r="B101" s="12" t="n"/>
      <c r="C101" s="12" t="n"/>
      <c r="D101" s="12" t="n"/>
      <c r="E101" s="12" t="n"/>
      <c r="F101" s="18" t="n"/>
    </row>
    <row r="102">
      <c r="A102" s="12" t="n"/>
      <c r="B102" s="12" t="n"/>
      <c r="C102" s="12" t="n"/>
      <c r="D102" s="12" t="n"/>
      <c r="E102" s="12" t="n"/>
      <c r="F102" s="18" t="n"/>
    </row>
    <row r="103">
      <c r="A103" s="12" t="n"/>
      <c r="B103" s="12" t="n"/>
      <c r="C103" s="12" t="n"/>
      <c r="D103" s="12" t="n"/>
      <c r="E103" s="12" t="n"/>
      <c r="F103" s="18" t="n"/>
    </row>
    <row r="104">
      <c r="A104" s="12" t="n"/>
      <c r="B104" s="12" t="n"/>
      <c r="C104" s="12" t="n"/>
      <c r="D104" s="12" t="n"/>
      <c r="E104" s="12" t="n"/>
      <c r="F104" s="1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304"/>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6" customWidth="1" min="3" max="3"/>
    <col width="26" customWidth="1" min="4" max="4"/>
    <col width="14" customWidth="1" min="5" max="5"/>
    <col width="16" customWidth="1" min="6" max="6"/>
    <col width="14" customWidth="1" min="7" max="7"/>
    <col width="13" customWidth="1" min="8" max="8"/>
    <col width="13" customWidth="1" min="9" max="9"/>
    <col width="15" customWidth="1" min="10" max="10"/>
    <col width="13" customWidth="1" min="11" max="11"/>
    <col width="24" customWidth="1" min="12" max="12"/>
  </cols>
  <sheetData>
    <row r="1">
      <c r="A1" s="5" t="inlineStr">
        <is>
          <t>Seat roster: one row per person per tool</t>
        </is>
      </c>
    </row>
    <row r="2">
      <c r="A2" s="8" t="inlineStr">
        <is>
          <t>Blue columns are inputs. Metered usage applies to Cursor (sum of chargedCents / 100) and Copilot (AI credit usage in $). Claude Code usage comes from the Claude Code sheet instead.</t>
        </is>
      </c>
    </row>
    <row r="3">
      <c r="A3" s="8" t="inlineStr">
        <is>
          <t>Billable days: leave blank for a full period. GitHub bills removed Copilot seats to the end of the cycle, so don't prorate removals there.</t>
        </is>
      </c>
    </row>
    <row r="4" ht="32" customHeight="1">
      <c r="A4" s="11" t="inlineStr">
        <is>
          <t>Person (email)</t>
        </is>
      </c>
      <c r="B4" s="11" t="inlineStr">
        <is>
          <t>Team key</t>
        </is>
      </c>
      <c r="C4" s="11" t="inlineStr">
        <is>
          <t>Tool</t>
        </is>
      </c>
      <c r="D4" s="11" t="inlineStr">
        <is>
          <t>Plan tier</t>
        </is>
      </c>
      <c r="E4" s="11" t="inlineStr">
        <is>
          <t>Billable days (blank = full)</t>
        </is>
      </c>
      <c r="F4" s="11" t="inlineStr">
        <is>
          <t>Metered usage this month ($)</t>
        </is>
      </c>
      <c r="G4" s="11" t="inlineStr">
        <is>
          <t>Cost centre</t>
        </is>
      </c>
      <c r="H4" s="11" t="inlineStr">
        <is>
          <t>Seat price ($/mo)</t>
        </is>
      </c>
      <c r="I4" s="11" t="inlineStr">
        <is>
          <t>Seat cost ($)</t>
        </is>
      </c>
      <c r="J4" s="11" t="inlineStr">
        <is>
          <t>Allocated usage ($)</t>
        </is>
      </c>
      <c r="K4" s="11" t="inlineStr">
        <is>
          <t>Total ($)</t>
        </is>
      </c>
      <c r="L4" s="11" t="inlineStr">
        <is>
          <t>Check</t>
        </is>
      </c>
    </row>
    <row r="5">
      <c r="A5" s="16" t="inlineStr">
        <is>
          <t>dev01@example.com</t>
        </is>
      </c>
      <c r="B5" s="16" t="inlineStr">
        <is>
          <t>payments</t>
        </is>
      </c>
      <c r="C5" s="16" t="inlineStr">
        <is>
          <t>Claude Code</t>
        </is>
      </c>
      <c r="D5" s="16" t="inlineStr">
        <is>
          <t>Team Standard (annual)</t>
        </is>
      </c>
      <c r="E5" s="17" t="n"/>
      <c r="F5" s="15" t="n"/>
      <c r="G5" s="19">
        <f>IF(C5="","",IF(IFERROR(INDEX(Teams!$C$5:$C$104,MATCH(B5,Teams!$A$5:$A$104,0))&amp;"","")="","Unmapped",INDEX(Teams!$C$5:$C$104,MATCH(B5,Teams!$A$5:$A$104,0))))</f>
        <v/>
      </c>
      <c r="H5" s="20">
        <f>IF(C5="","",IFERROR(INDEX(Settings!$C$11:$C$25,MATCH(C5&amp;" - "&amp;D5,Settings!$D$11:$D$25,0)),0))</f>
        <v/>
      </c>
      <c r="I5" s="21">
        <f>IF(C5="","",H5*IF(E5="",1,E5/Settings!$B$4))</f>
        <v/>
      </c>
      <c r="J5" s="21">
        <f>IF(OR(C5="",C5="Claude Code"),0,IF(IFERROR(INDEX(Settings!$C$29:$C$31,MATCH(C5,Settings!$A$29:$A$31,0)),"")="",N(F5),IF(SUMIFS($F$5:$F$304,$C$5:$C$304,C5&amp;"")=0,0,N(F5)/SUMIFS($F$5:$F$304,$C$5:$C$304,C5&amp;"")*INDEX(Settings!$C$29:$C$31,MATCH(C5,Settings!$A$29:$A$31,0)))))</f>
        <v/>
      </c>
      <c r="K5" s="21">
        <f>IF(C5="","",I5+J5)</f>
        <v/>
      </c>
      <c r="L5" s="14">
        <f>IF(C5="","",IF(H5=0,IF(ISNUMBER(MATCH(C5&amp;" - "&amp;D5,Settings!$D$11:$D$25,0)),"OK","Tier not in Settings"),IF(G5="Unmapped","Team key not in Teams","OK")))</f>
        <v/>
      </c>
    </row>
    <row r="6">
      <c r="A6" s="16" t="inlineStr">
        <is>
          <t>dev02@example.com</t>
        </is>
      </c>
      <c r="B6" s="16" t="inlineStr">
        <is>
          <t>payments</t>
        </is>
      </c>
      <c r="C6" s="16" t="inlineStr">
        <is>
          <t>Claude Code</t>
        </is>
      </c>
      <c r="D6" s="16" t="inlineStr">
        <is>
          <t>Team Standard (annual)</t>
        </is>
      </c>
      <c r="E6" s="17" t="n"/>
      <c r="F6" s="15" t="n"/>
      <c r="G6" s="19">
        <f>IF(C6="","",IF(IFERROR(INDEX(Teams!$C$5:$C$104,MATCH(B6,Teams!$A$5:$A$104,0))&amp;"","")="","Unmapped",INDEX(Teams!$C$5:$C$104,MATCH(B6,Teams!$A$5:$A$104,0))))</f>
        <v/>
      </c>
      <c r="H6" s="20">
        <f>IF(C6="","",IFERROR(INDEX(Settings!$C$11:$C$25,MATCH(C6&amp;" - "&amp;D6,Settings!$D$11:$D$25,0)),0))</f>
        <v/>
      </c>
      <c r="I6" s="21">
        <f>IF(C6="","",H6*IF(E6="",1,E6/Settings!$B$4))</f>
        <v/>
      </c>
      <c r="J6" s="21">
        <f>IF(OR(C6="",C6="Claude Code"),0,IF(IFERROR(INDEX(Settings!$C$29:$C$31,MATCH(C6,Settings!$A$29:$A$31,0)),"")="",N(F6),IF(SUMIFS($F$5:$F$304,$C$5:$C$304,C6&amp;"")=0,0,N(F6)/SUMIFS($F$5:$F$304,$C$5:$C$304,C6&amp;"")*INDEX(Settings!$C$29:$C$31,MATCH(C6,Settings!$A$29:$A$31,0)))))</f>
        <v/>
      </c>
      <c r="K6" s="21">
        <f>IF(C6="","",I6+J6)</f>
        <v/>
      </c>
      <c r="L6" s="14">
        <f>IF(C6="","",IF(H6=0,IF(ISNUMBER(MATCH(C6&amp;" - "&amp;D6,Settings!$D$11:$D$25,0)),"OK","Tier not in Settings"),IF(G6="Unmapped","Team key not in Teams","OK")))</f>
        <v/>
      </c>
    </row>
    <row r="7">
      <c r="A7" s="16" t="inlineStr">
        <is>
          <t>dev03@example.com</t>
        </is>
      </c>
      <c r="B7" s="16" t="inlineStr">
        <is>
          <t>payments</t>
        </is>
      </c>
      <c r="C7" s="16" t="inlineStr">
        <is>
          <t>Claude Code</t>
        </is>
      </c>
      <c r="D7" s="16" t="inlineStr">
        <is>
          <t>Team Premium (annual)</t>
        </is>
      </c>
      <c r="E7" s="17" t="n"/>
      <c r="F7" s="15" t="n"/>
      <c r="G7" s="19">
        <f>IF(C7="","",IF(IFERROR(INDEX(Teams!$C$5:$C$104,MATCH(B7,Teams!$A$5:$A$104,0))&amp;"","")="","Unmapped",INDEX(Teams!$C$5:$C$104,MATCH(B7,Teams!$A$5:$A$104,0))))</f>
        <v/>
      </c>
      <c r="H7" s="20">
        <f>IF(C7="","",IFERROR(INDEX(Settings!$C$11:$C$25,MATCH(C7&amp;" - "&amp;D7,Settings!$D$11:$D$25,0)),0))</f>
        <v/>
      </c>
      <c r="I7" s="21">
        <f>IF(C7="","",H7*IF(E7="",1,E7/Settings!$B$4))</f>
        <v/>
      </c>
      <c r="J7" s="21">
        <f>IF(OR(C7="",C7="Claude Code"),0,IF(IFERROR(INDEX(Settings!$C$29:$C$31,MATCH(C7,Settings!$A$29:$A$31,0)),"")="",N(F7),IF(SUMIFS($F$5:$F$304,$C$5:$C$304,C7&amp;"")=0,0,N(F7)/SUMIFS($F$5:$F$304,$C$5:$C$304,C7&amp;"")*INDEX(Settings!$C$29:$C$31,MATCH(C7,Settings!$A$29:$A$31,0)))))</f>
        <v/>
      </c>
      <c r="K7" s="21">
        <f>IF(C7="","",I7+J7)</f>
        <v/>
      </c>
      <c r="L7" s="14">
        <f>IF(C7="","",IF(H7=0,IF(ISNUMBER(MATCH(C7&amp;" - "&amp;D7,Settings!$D$11:$D$25,0)),"OK","Tier not in Settings"),IF(G7="Unmapped","Team key not in Teams","OK")))</f>
        <v/>
      </c>
    </row>
    <row r="8">
      <c r="A8" s="16" t="inlineStr">
        <is>
          <t>dev04@example.com</t>
        </is>
      </c>
      <c r="B8" s="16" t="inlineStr">
        <is>
          <t>payments</t>
        </is>
      </c>
      <c r="C8" s="16" t="inlineStr">
        <is>
          <t>Cursor</t>
        </is>
      </c>
      <c r="D8" s="16" t="inlineStr">
        <is>
          <t>Teams Premium</t>
        </is>
      </c>
      <c r="E8" s="17" t="n"/>
      <c r="F8" s="15" t="n">
        <v>42.1</v>
      </c>
      <c r="G8" s="19">
        <f>IF(C8="","",IF(IFERROR(INDEX(Teams!$C$5:$C$104,MATCH(B8,Teams!$A$5:$A$104,0))&amp;"","")="","Unmapped",INDEX(Teams!$C$5:$C$104,MATCH(B8,Teams!$A$5:$A$104,0))))</f>
        <v/>
      </c>
      <c r="H8" s="20">
        <f>IF(C8="","",IFERROR(INDEX(Settings!$C$11:$C$25,MATCH(C8&amp;" - "&amp;D8,Settings!$D$11:$D$25,0)),0))</f>
        <v/>
      </c>
      <c r="I8" s="21">
        <f>IF(C8="","",H8*IF(E8="",1,E8/Settings!$B$4))</f>
        <v/>
      </c>
      <c r="J8" s="21">
        <f>IF(OR(C8="",C8="Claude Code"),0,IF(IFERROR(INDEX(Settings!$C$29:$C$31,MATCH(C8,Settings!$A$29:$A$31,0)),"")="",N(F8),IF(SUMIFS($F$5:$F$304,$C$5:$C$304,C8&amp;"")=0,0,N(F8)/SUMIFS($F$5:$F$304,$C$5:$C$304,C8&amp;"")*INDEX(Settings!$C$29:$C$31,MATCH(C8,Settings!$A$29:$A$31,0)))))</f>
        <v/>
      </c>
      <c r="K8" s="21">
        <f>IF(C8="","",I8+J8)</f>
        <v/>
      </c>
      <c r="L8" s="14">
        <f>IF(C8="","",IF(H8=0,IF(ISNUMBER(MATCH(C8&amp;" - "&amp;D8,Settings!$D$11:$D$25,0)),"OK","Tier not in Settings"),IF(G8="Unmapped","Team key not in Teams","OK")))</f>
        <v/>
      </c>
    </row>
    <row r="9">
      <c r="A9" s="16" t="inlineStr">
        <is>
          <t>dev05@example.com</t>
        </is>
      </c>
      <c r="B9" s="16" t="inlineStr">
        <is>
          <t>payments</t>
        </is>
      </c>
      <c r="C9" s="16" t="inlineStr">
        <is>
          <t>GitHub Copilot</t>
        </is>
      </c>
      <c r="D9" s="16" t="inlineStr">
        <is>
          <t>Business</t>
        </is>
      </c>
      <c r="E9" s="17" t="n"/>
      <c r="F9" s="15" t="n">
        <v>6.4</v>
      </c>
      <c r="G9" s="19">
        <f>IF(C9="","",IF(IFERROR(INDEX(Teams!$C$5:$C$104,MATCH(B9,Teams!$A$5:$A$104,0))&amp;"","")="","Unmapped",INDEX(Teams!$C$5:$C$104,MATCH(B9,Teams!$A$5:$A$104,0))))</f>
        <v/>
      </c>
      <c r="H9" s="20">
        <f>IF(C9="","",IFERROR(INDEX(Settings!$C$11:$C$25,MATCH(C9&amp;" - "&amp;D9,Settings!$D$11:$D$25,0)),0))</f>
        <v/>
      </c>
      <c r="I9" s="21">
        <f>IF(C9="","",H9*IF(E9="",1,E9/Settings!$B$4))</f>
        <v/>
      </c>
      <c r="J9" s="21">
        <f>IF(OR(C9="",C9="Claude Code"),0,IF(IFERROR(INDEX(Settings!$C$29:$C$31,MATCH(C9,Settings!$A$29:$A$31,0)),"")="",N(F9),IF(SUMIFS($F$5:$F$304,$C$5:$C$304,C9&amp;"")=0,0,N(F9)/SUMIFS($F$5:$F$304,$C$5:$C$304,C9&amp;"")*INDEX(Settings!$C$29:$C$31,MATCH(C9,Settings!$A$29:$A$31,0)))))</f>
        <v/>
      </c>
      <c r="K9" s="21">
        <f>IF(C9="","",I9+J9)</f>
        <v/>
      </c>
      <c r="L9" s="14">
        <f>IF(C9="","",IF(H9=0,IF(ISNUMBER(MATCH(C9&amp;" - "&amp;D9,Settings!$D$11:$D$25,0)),"OK","Tier not in Settings"),IF(G9="Unmapped","Team key not in Teams","OK")))</f>
        <v/>
      </c>
    </row>
    <row r="10">
      <c r="A10" s="16" t="inlineStr">
        <is>
          <t>dev06@example.com</t>
        </is>
      </c>
      <c r="B10" s="16" t="inlineStr">
        <is>
          <t>payments</t>
        </is>
      </c>
      <c r="C10" s="16" t="inlineStr">
        <is>
          <t>GitHub Copilot</t>
        </is>
      </c>
      <c r="D10" s="16" t="inlineStr">
        <is>
          <t>Business</t>
        </is>
      </c>
      <c r="E10" s="17" t="n">
        <v>16</v>
      </c>
      <c r="F10" s="15" t="n">
        <v>0</v>
      </c>
      <c r="G10" s="19">
        <f>IF(C10="","",IF(IFERROR(INDEX(Teams!$C$5:$C$104,MATCH(B10,Teams!$A$5:$A$104,0))&amp;"","")="","Unmapped",INDEX(Teams!$C$5:$C$104,MATCH(B10,Teams!$A$5:$A$104,0))))</f>
        <v/>
      </c>
      <c r="H10" s="20">
        <f>IF(C10="","",IFERROR(INDEX(Settings!$C$11:$C$25,MATCH(C10&amp;" - "&amp;D10,Settings!$D$11:$D$25,0)),0))</f>
        <v/>
      </c>
      <c r="I10" s="21">
        <f>IF(C10="","",H10*IF(E10="",1,E10/Settings!$B$4))</f>
        <v/>
      </c>
      <c r="J10" s="21">
        <f>IF(OR(C10="",C10="Claude Code"),0,IF(IFERROR(INDEX(Settings!$C$29:$C$31,MATCH(C10,Settings!$A$29:$A$31,0)),"")="",N(F10),IF(SUMIFS($F$5:$F$304,$C$5:$C$304,C10&amp;"")=0,0,N(F10)/SUMIFS($F$5:$F$304,$C$5:$C$304,C10&amp;"")*INDEX(Settings!$C$29:$C$31,MATCH(C10,Settings!$A$29:$A$31,0)))))</f>
        <v/>
      </c>
      <c r="K10" s="21">
        <f>IF(C10="","",I10+J10)</f>
        <v/>
      </c>
      <c r="L10" s="14">
        <f>IF(C10="","",IF(H10=0,IF(ISNUMBER(MATCH(C10&amp;" - "&amp;D10,Settings!$D$11:$D$25,0)),"OK","Tier not in Settings"),IF(G10="Unmapped","Team key not in Teams","OK")))</f>
        <v/>
      </c>
    </row>
    <row r="11">
      <c r="A11" s="16" t="inlineStr">
        <is>
          <t>dev07@example.com</t>
        </is>
      </c>
      <c r="B11" s="16" t="inlineStr">
        <is>
          <t>platform</t>
        </is>
      </c>
      <c r="C11" s="16" t="inlineStr">
        <is>
          <t>Claude Code</t>
        </is>
      </c>
      <c r="D11" s="16" t="inlineStr">
        <is>
          <t>Team Premium (annual)</t>
        </is>
      </c>
      <c r="E11" s="17" t="n"/>
      <c r="F11" s="15" t="n"/>
      <c r="G11" s="19">
        <f>IF(C11="","",IF(IFERROR(INDEX(Teams!$C$5:$C$104,MATCH(B11,Teams!$A$5:$A$104,0))&amp;"","")="","Unmapped",INDEX(Teams!$C$5:$C$104,MATCH(B11,Teams!$A$5:$A$104,0))))</f>
        <v/>
      </c>
      <c r="H11" s="20">
        <f>IF(C11="","",IFERROR(INDEX(Settings!$C$11:$C$25,MATCH(C11&amp;" - "&amp;D11,Settings!$D$11:$D$25,0)),0))</f>
        <v/>
      </c>
      <c r="I11" s="21">
        <f>IF(C11="","",H11*IF(E11="",1,E11/Settings!$B$4))</f>
        <v/>
      </c>
      <c r="J11" s="21">
        <f>IF(OR(C11="",C11="Claude Code"),0,IF(IFERROR(INDEX(Settings!$C$29:$C$31,MATCH(C11,Settings!$A$29:$A$31,0)),"")="",N(F11),IF(SUMIFS($F$5:$F$304,$C$5:$C$304,C11&amp;"")=0,0,N(F11)/SUMIFS($F$5:$F$304,$C$5:$C$304,C11&amp;"")*INDEX(Settings!$C$29:$C$31,MATCH(C11,Settings!$A$29:$A$31,0)))))</f>
        <v/>
      </c>
      <c r="K11" s="21">
        <f>IF(C11="","",I11+J11)</f>
        <v/>
      </c>
      <c r="L11" s="14">
        <f>IF(C11="","",IF(H11=0,IF(ISNUMBER(MATCH(C11&amp;" - "&amp;D11,Settings!$D$11:$D$25,0)),"OK","Tier not in Settings"),IF(G11="Unmapped","Team key not in Teams","OK")))</f>
        <v/>
      </c>
    </row>
    <row r="12">
      <c r="A12" s="16" t="inlineStr">
        <is>
          <t>dev08@example.com</t>
        </is>
      </c>
      <c r="B12" s="16" t="inlineStr">
        <is>
          <t>platform</t>
        </is>
      </c>
      <c r="C12" s="16" t="inlineStr">
        <is>
          <t>Claude Code</t>
        </is>
      </c>
      <c r="D12" s="16" t="inlineStr">
        <is>
          <t>Team Premium (annual)</t>
        </is>
      </c>
      <c r="E12" s="17" t="n"/>
      <c r="F12" s="15" t="n"/>
      <c r="G12" s="19">
        <f>IF(C12="","",IF(IFERROR(INDEX(Teams!$C$5:$C$104,MATCH(B12,Teams!$A$5:$A$104,0))&amp;"","")="","Unmapped",INDEX(Teams!$C$5:$C$104,MATCH(B12,Teams!$A$5:$A$104,0))))</f>
        <v/>
      </c>
      <c r="H12" s="20">
        <f>IF(C12="","",IFERROR(INDEX(Settings!$C$11:$C$25,MATCH(C12&amp;" - "&amp;D12,Settings!$D$11:$D$25,0)),0))</f>
        <v/>
      </c>
      <c r="I12" s="21">
        <f>IF(C12="","",H12*IF(E12="",1,E12/Settings!$B$4))</f>
        <v/>
      </c>
      <c r="J12" s="21">
        <f>IF(OR(C12="",C12="Claude Code"),0,IF(IFERROR(INDEX(Settings!$C$29:$C$31,MATCH(C12,Settings!$A$29:$A$31,0)),"")="",N(F12),IF(SUMIFS($F$5:$F$304,$C$5:$C$304,C12&amp;"")=0,0,N(F12)/SUMIFS($F$5:$F$304,$C$5:$C$304,C12&amp;"")*INDEX(Settings!$C$29:$C$31,MATCH(C12,Settings!$A$29:$A$31,0)))))</f>
        <v/>
      </c>
      <c r="K12" s="21">
        <f>IF(C12="","",I12+J12)</f>
        <v/>
      </c>
      <c r="L12" s="14">
        <f>IF(C12="","",IF(H12=0,IF(ISNUMBER(MATCH(C12&amp;" - "&amp;D12,Settings!$D$11:$D$25,0)),"OK","Tier not in Settings"),IF(G12="Unmapped","Team key not in Teams","OK")))</f>
        <v/>
      </c>
    </row>
    <row r="13">
      <c r="A13" s="16" t="inlineStr">
        <is>
          <t>dev09@example.com</t>
        </is>
      </c>
      <c r="B13" s="16" t="inlineStr">
        <is>
          <t>platform</t>
        </is>
      </c>
      <c r="C13" s="16" t="inlineStr">
        <is>
          <t>Claude Code</t>
        </is>
      </c>
      <c r="D13" s="16" t="inlineStr">
        <is>
          <t>Team Standard (annual)</t>
        </is>
      </c>
      <c r="E13" s="17" t="n"/>
      <c r="F13" s="15" t="n"/>
      <c r="G13" s="19">
        <f>IF(C13="","",IF(IFERROR(INDEX(Teams!$C$5:$C$104,MATCH(B13,Teams!$A$5:$A$104,0))&amp;"","")="","Unmapped",INDEX(Teams!$C$5:$C$104,MATCH(B13,Teams!$A$5:$A$104,0))))</f>
        <v/>
      </c>
      <c r="H13" s="20">
        <f>IF(C13="","",IFERROR(INDEX(Settings!$C$11:$C$25,MATCH(C13&amp;" - "&amp;D13,Settings!$D$11:$D$25,0)),0))</f>
        <v/>
      </c>
      <c r="I13" s="21">
        <f>IF(C13="","",H13*IF(E13="",1,E13/Settings!$B$4))</f>
        <v/>
      </c>
      <c r="J13" s="21">
        <f>IF(OR(C13="",C13="Claude Code"),0,IF(IFERROR(INDEX(Settings!$C$29:$C$31,MATCH(C13,Settings!$A$29:$A$31,0)),"")="",N(F13),IF(SUMIFS($F$5:$F$304,$C$5:$C$304,C13&amp;"")=0,0,N(F13)/SUMIFS($F$5:$F$304,$C$5:$C$304,C13&amp;"")*INDEX(Settings!$C$29:$C$31,MATCH(C13,Settings!$A$29:$A$31,0)))))</f>
        <v/>
      </c>
      <c r="K13" s="21">
        <f>IF(C13="","",I13+J13)</f>
        <v/>
      </c>
      <c r="L13" s="14">
        <f>IF(C13="","",IF(H13=0,IF(ISNUMBER(MATCH(C13&amp;" - "&amp;D13,Settings!$D$11:$D$25,0)),"OK","Tier not in Settings"),IF(G13="Unmapped","Team key not in Teams","OK")))</f>
        <v/>
      </c>
    </row>
    <row r="14">
      <c r="A14" s="16" t="inlineStr">
        <is>
          <t>dev10@example.com</t>
        </is>
      </c>
      <c r="B14" s="16" t="inlineStr">
        <is>
          <t>platform</t>
        </is>
      </c>
      <c r="C14" s="16" t="inlineStr">
        <is>
          <t>Cursor</t>
        </is>
      </c>
      <c r="D14" s="16" t="inlineStr">
        <is>
          <t>Teams Super</t>
        </is>
      </c>
      <c r="E14" s="17" t="n"/>
      <c r="F14" s="15" t="n">
        <v>118.75</v>
      </c>
      <c r="G14" s="19">
        <f>IF(C14="","",IF(IFERROR(INDEX(Teams!$C$5:$C$104,MATCH(B14,Teams!$A$5:$A$104,0))&amp;"","")="","Unmapped",INDEX(Teams!$C$5:$C$104,MATCH(B14,Teams!$A$5:$A$104,0))))</f>
        <v/>
      </c>
      <c r="H14" s="20">
        <f>IF(C14="","",IFERROR(INDEX(Settings!$C$11:$C$25,MATCH(C14&amp;" - "&amp;D14,Settings!$D$11:$D$25,0)),0))</f>
        <v/>
      </c>
      <c r="I14" s="21">
        <f>IF(C14="","",H14*IF(E14="",1,E14/Settings!$B$4))</f>
        <v/>
      </c>
      <c r="J14" s="21">
        <f>IF(OR(C14="",C14="Claude Code"),0,IF(IFERROR(INDEX(Settings!$C$29:$C$31,MATCH(C14,Settings!$A$29:$A$31,0)),"")="",N(F14),IF(SUMIFS($F$5:$F$304,$C$5:$C$304,C14&amp;"")=0,0,N(F14)/SUMIFS($F$5:$F$304,$C$5:$C$304,C14&amp;"")*INDEX(Settings!$C$29:$C$31,MATCH(C14,Settings!$A$29:$A$31,0)))))</f>
        <v/>
      </c>
      <c r="K14" s="21">
        <f>IF(C14="","",I14+J14)</f>
        <v/>
      </c>
      <c r="L14" s="14">
        <f>IF(C14="","",IF(H14=0,IF(ISNUMBER(MATCH(C14&amp;" - "&amp;D14,Settings!$D$11:$D$25,0)),"OK","Tier not in Settings"),IF(G14="Unmapped","Team key not in Teams","OK")))</f>
        <v/>
      </c>
    </row>
    <row r="15">
      <c r="A15" s="16" t="inlineStr">
        <is>
          <t>dev11@example.com</t>
        </is>
      </c>
      <c r="B15" s="16" t="inlineStr">
        <is>
          <t>platform</t>
        </is>
      </c>
      <c r="C15" s="16" t="inlineStr">
        <is>
          <t>GitHub Copilot</t>
        </is>
      </c>
      <c r="D15" s="16" t="inlineStr">
        <is>
          <t>Enterprise</t>
        </is>
      </c>
      <c r="E15" s="17" t="n"/>
      <c r="F15" s="15" t="n">
        <v>31.2</v>
      </c>
      <c r="G15" s="19">
        <f>IF(C15="","",IF(IFERROR(INDEX(Teams!$C$5:$C$104,MATCH(B15,Teams!$A$5:$A$104,0))&amp;"","")="","Unmapped",INDEX(Teams!$C$5:$C$104,MATCH(B15,Teams!$A$5:$A$104,0))))</f>
        <v/>
      </c>
      <c r="H15" s="20">
        <f>IF(C15="","",IFERROR(INDEX(Settings!$C$11:$C$25,MATCH(C15&amp;" - "&amp;D15,Settings!$D$11:$D$25,0)),0))</f>
        <v/>
      </c>
      <c r="I15" s="21">
        <f>IF(C15="","",H15*IF(E15="",1,E15/Settings!$B$4))</f>
        <v/>
      </c>
      <c r="J15" s="21">
        <f>IF(OR(C15="",C15="Claude Code"),0,IF(IFERROR(INDEX(Settings!$C$29:$C$31,MATCH(C15,Settings!$A$29:$A$31,0)),"")="",N(F15),IF(SUMIFS($F$5:$F$304,$C$5:$C$304,C15&amp;"")=0,0,N(F15)/SUMIFS($F$5:$F$304,$C$5:$C$304,C15&amp;"")*INDEX(Settings!$C$29:$C$31,MATCH(C15,Settings!$A$29:$A$31,0)))))</f>
        <v/>
      </c>
      <c r="K15" s="21">
        <f>IF(C15="","",I15+J15)</f>
        <v/>
      </c>
      <c r="L15" s="14">
        <f>IF(C15="","",IF(H15=0,IF(ISNUMBER(MATCH(C15&amp;" - "&amp;D15,Settings!$D$11:$D$25,0)),"OK","Tier not in Settings"),IF(G15="Unmapped","Team key not in Teams","OK")))</f>
        <v/>
      </c>
    </row>
    <row r="16">
      <c r="A16" s="16" t="inlineStr">
        <is>
          <t>dev12@example.com</t>
        </is>
      </c>
      <c r="B16" s="16" t="inlineStr">
        <is>
          <t>mobile</t>
        </is>
      </c>
      <c r="C16" s="16" t="inlineStr">
        <is>
          <t>Cursor</t>
        </is>
      </c>
      <c r="D16" s="16" t="inlineStr">
        <is>
          <t>Teams Premium</t>
        </is>
      </c>
      <c r="E16" s="17" t="n"/>
      <c r="F16" s="15" t="n">
        <v>12.3</v>
      </c>
      <c r="G16" s="19">
        <f>IF(C16="","",IF(IFERROR(INDEX(Teams!$C$5:$C$104,MATCH(B16,Teams!$A$5:$A$104,0))&amp;"","")="","Unmapped",INDEX(Teams!$C$5:$C$104,MATCH(B16,Teams!$A$5:$A$104,0))))</f>
        <v/>
      </c>
      <c r="H16" s="20">
        <f>IF(C16="","",IFERROR(INDEX(Settings!$C$11:$C$25,MATCH(C16&amp;" - "&amp;D16,Settings!$D$11:$D$25,0)),0))</f>
        <v/>
      </c>
      <c r="I16" s="21">
        <f>IF(C16="","",H16*IF(E16="",1,E16/Settings!$B$4))</f>
        <v/>
      </c>
      <c r="J16" s="21">
        <f>IF(OR(C16="",C16="Claude Code"),0,IF(IFERROR(INDEX(Settings!$C$29:$C$31,MATCH(C16,Settings!$A$29:$A$31,0)),"")="",N(F16),IF(SUMIFS($F$5:$F$304,$C$5:$C$304,C16&amp;"")=0,0,N(F16)/SUMIFS($F$5:$F$304,$C$5:$C$304,C16&amp;"")*INDEX(Settings!$C$29:$C$31,MATCH(C16,Settings!$A$29:$A$31,0)))))</f>
        <v/>
      </c>
      <c r="K16" s="21">
        <f>IF(C16="","",I16+J16)</f>
        <v/>
      </c>
      <c r="L16" s="14">
        <f>IF(C16="","",IF(H16=0,IF(ISNUMBER(MATCH(C16&amp;" - "&amp;D16,Settings!$D$11:$D$25,0)),"OK","Tier not in Settings"),IF(G16="Unmapped","Team key not in Teams","OK")))</f>
        <v/>
      </c>
    </row>
    <row r="17">
      <c r="A17" s="16" t="inlineStr">
        <is>
          <t>dev13@example.com</t>
        </is>
      </c>
      <c r="B17" s="16" t="inlineStr">
        <is>
          <t>mobile</t>
        </is>
      </c>
      <c r="C17" s="16" t="inlineStr">
        <is>
          <t>Cursor</t>
        </is>
      </c>
      <c r="D17" s="16" t="inlineStr">
        <is>
          <t>Teams Premium</t>
        </is>
      </c>
      <c r="E17" s="17" t="n"/>
      <c r="F17" s="15" t="n">
        <v>0</v>
      </c>
      <c r="G17" s="19">
        <f>IF(C17="","",IF(IFERROR(INDEX(Teams!$C$5:$C$104,MATCH(B17,Teams!$A$5:$A$104,0))&amp;"","")="","Unmapped",INDEX(Teams!$C$5:$C$104,MATCH(B17,Teams!$A$5:$A$104,0))))</f>
        <v/>
      </c>
      <c r="H17" s="20">
        <f>IF(C17="","",IFERROR(INDEX(Settings!$C$11:$C$25,MATCH(C17&amp;" - "&amp;D17,Settings!$D$11:$D$25,0)),0))</f>
        <v/>
      </c>
      <c r="I17" s="21">
        <f>IF(C17="","",H17*IF(E17="",1,E17/Settings!$B$4))</f>
        <v/>
      </c>
      <c r="J17" s="21">
        <f>IF(OR(C17="",C17="Claude Code"),0,IF(IFERROR(INDEX(Settings!$C$29:$C$31,MATCH(C17,Settings!$A$29:$A$31,0)),"")="",N(F17),IF(SUMIFS($F$5:$F$304,$C$5:$C$304,C17&amp;"")=0,0,N(F17)/SUMIFS($F$5:$F$304,$C$5:$C$304,C17&amp;"")*INDEX(Settings!$C$29:$C$31,MATCH(C17,Settings!$A$29:$A$31,0)))))</f>
        <v/>
      </c>
      <c r="K17" s="21">
        <f>IF(C17="","",I17+J17)</f>
        <v/>
      </c>
      <c r="L17" s="14">
        <f>IF(C17="","",IF(H17=0,IF(ISNUMBER(MATCH(C17&amp;" - "&amp;D17,Settings!$D$11:$D$25,0)),"OK","Tier not in Settings"),IF(G17="Unmapped","Team key not in Teams","OK")))</f>
        <v/>
      </c>
    </row>
    <row r="18">
      <c r="A18" s="16" t="inlineStr">
        <is>
          <t>dev14@example.com</t>
        </is>
      </c>
      <c r="B18" s="16" t="inlineStr">
        <is>
          <t>mobile</t>
        </is>
      </c>
      <c r="C18" s="16" t="inlineStr">
        <is>
          <t>Claude Code</t>
        </is>
      </c>
      <c r="D18" s="16" t="inlineStr">
        <is>
          <t>Team Standard (annual)</t>
        </is>
      </c>
      <c r="E18" s="17" t="n"/>
      <c r="F18" s="15" t="n"/>
      <c r="G18" s="19">
        <f>IF(C18="","",IF(IFERROR(INDEX(Teams!$C$5:$C$104,MATCH(B18,Teams!$A$5:$A$104,0))&amp;"","")="","Unmapped",INDEX(Teams!$C$5:$C$104,MATCH(B18,Teams!$A$5:$A$104,0))))</f>
        <v/>
      </c>
      <c r="H18" s="20">
        <f>IF(C18="","",IFERROR(INDEX(Settings!$C$11:$C$25,MATCH(C18&amp;" - "&amp;D18,Settings!$D$11:$D$25,0)),0))</f>
        <v/>
      </c>
      <c r="I18" s="21">
        <f>IF(C18="","",H18*IF(E18="",1,E18/Settings!$B$4))</f>
        <v/>
      </c>
      <c r="J18" s="21">
        <f>IF(OR(C18="",C18="Claude Code"),0,IF(IFERROR(INDEX(Settings!$C$29:$C$31,MATCH(C18,Settings!$A$29:$A$31,0)),"")="",N(F18),IF(SUMIFS($F$5:$F$304,$C$5:$C$304,C18&amp;"")=0,0,N(F18)/SUMIFS($F$5:$F$304,$C$5:$C$304,C18&amp;"")*INDEX(Settings!$C$29:$C$31,MATCH(C18,Settings!$A$29:$A$31,0)))))</f>
        <v/>
      </c>
      <c r="K18" s="21">
        <f>IF(C18="","",I18+J18)</f>
        <v/>
      </c>
      <c r="L18" s="14">
        <f>IF(C18="","",IF(H18=0,IF(ISNUMBER(MATCH(C18&amp;" - "&amp;D18,Settings!$D$11:$D$25,0)),"OK","Tier not in Settings"),IF(G18="Unmapped","Team key not in Teams","OK")))</f>
        <v/>
      </c>
    </row>
    <row r="19">
      <c r="A19" s="16" t="inlineStr">
        <is>
          <t>dev15@example.com</t>
        </is>
      </c>
      <c r="B19" s="16" t="inlineStr">
        <is>
          <t>mobile</t>
        </is>
      </c>
      <c r="C19" s="16" t="inlineStr">
        <is>
          <t>GitHub Copilot</t>
        </is>
      </c>
      <c r="D19" s="16" t="inlineStr">
        <is>
          <t>Business</t>
        </is>
      </c>
      <c r="E19" s="17" t="n"/>
      <c r="F19" s="15" t="n">
        <v>2.1</v>
      </c>
      <c r="G19" s="19">
        <f>IF(C19="","",IF(IFERROR(INDEX(Teams!$C$5:$C$104,MATCH(B19,Teams!$A$5:$A$104,0))&amp;"","")="","Unmapped",INDEX(Teams!$C$5:$C$104,MATCH(B19,Teams!$A$5:$A$104,0))))</f>
        <v/>
      </c>
      <c r="H19" s="20">
        <f>IF(C19="","",IFERROR(INDEX(Settings!$C$11:$C$25,MATCH(C19&amp;" - "&amp;D19,Settings!$D$11:$D$25,0)),0))</f>
        <v/>
      </c>
      <c r="I19" s="21">
        <f>IF(C19="","",H19*IF(E19="",1,E19/Settings!$B$4))</f>
        <v/>
      </c>
      <c r="J19" s="21">
        <f>IF(OR(C19="",C19="Claude Code"),0,IF(IFERROR(INDEX(Settings!$C$29:$C$31,MATCH(C19,Settings!$A$29:$A$31,0)),"")="",N(F19),IF(SUMIFS($F$5:$F$304,$C$5:$C$304,C19&amp;"")=0,0,N(F19)/SUMIFS($F$5:$F$304,$C$5:$C$304,C19&amp;"")*INDEX(Settings!$C$29:$C$31,MATCH(C19,Settings!$A$29:$A$31,0)))))</f>
        <v/>
      </c>
      <c r="K19" s="21">
        <f>IF(C19="","",I19+J19)</f>
        <v/>
      </c>
      <c r="L19" s="14">
        <f>IF(C19="","",IF(H19=0,IF(ISNUMBER(MATCH(C19&amp;" - "&amp;D19,Settings!$D$11:$D$25,0)),"OK","Tier not in Settings"),IF(G19="Unmapped","Team key not in Teams","OK")))</f>
        <v/>
      </c>
    </row>
    <row r="20">
      <c r="A20" s="16" t="inlineStr">
        <is>
          <t>dev16@example.com</t>
        </is>
      </c>
      <c r="B20" s="16" t="inlineStr">
        <is>
          <t>data</t>
        </is>
      </c>
      <c r="C20" s="16" t="inlineStr">
        <is>
          <t>Claude Code</t>
        </is>
      </c>
      <c r="D20" s="16" t="inlineStr">
        <is>
          <t>Team Standard (annual)</t>
        </is>
      </c>
      <c r="E20" s="17" t="n"/>
      <c r="F20" s="15" t="n"/>
      <c r="G20" s="19">
        <f>IF(C20="","",IF(IFERROR(INDEX(Teams!$C$5:$C$104,MATCH(B20,Teams!$A$5:$A$104,0))&amp;"","")="","Unmapped",INDEX(Teams!$C$5:$C$104,MATCH(B20,Teams!$A$5:$A$104,0))))</f>
        <v/>
      </c>
      <c r="H20" s="20">
        <f>IF(C20="","",IFERROR(INDEX(Settings!$C$11:$C$25,MATCH(C20&amp;" - "&amp;D20,Settings!$D$11:$D$25,0)),0))</f>
        <v/>
      </c>
      <c r="I20" s="21">
        <f>IF(C20="","",H20*IF(E20="",1,E20/Settings!$B$4))</f>
        <v/>
      </c>
      <c r="J20" s="21">
        <f>IF(OR(C20="",C20="Claude Code"),0,IF(IFERROR(INDEX(Settings!$C$29:$C$31,MATCH(C20,Settings!$A$29:$A$31,0)),"")="",N(F20),IF(SUMIFS($F$5:$F$304,$C$5:$C$304,C20&amp;"")=0,0,N(F20)/SUMIFS($F$5:$F$304,$C$5:$C$304,C20&amp;"")*INDEX(Settings!$C$29:$C$31,MATCH(C20,Settings!$A$29:$A$31,0)))))</f>
        <v/>
      </c>
      <c r="K20" s="21">
        <f>IF(C20="","",I20+J20)</f>
        <v/>
      </c>
      <c r="L20" s="14">
        <f>IF(C20="","",IF(H20=0,IF(ISNUMBER(MATCH(C20&amp;" - "&amp;D20,Settings!$D$11:$D$25,0)),"OK","Tier not in Settings"),IF(G20="Unmapped","Team key not in Teams","OK")))</f>
        <v/>
      </c>
    </row>
    <row r="21">
      <c r="A21" s="16" t="inlineStr">
        <is>
          <t>dev17@example.com</t>
        </is>
      </c>
      <c r="B21" s="16" t="inlineStr">
        <is>
          <t>data</t>
        </is>
      </c>
      <c r="C21" s="16" t="inlineStr">
        <is>
          <t>Claude Code</t>
        </is>
      </c>
      <c r="D21" s="16" t="inlineStr">
        <is>
          <t>Team Standard (annual)</t>
        </is>
      </c>
      <c r="E21" s="17" t="n"/>
      <c r="F21" s="15" t="n"/>
      <c r="G21" s="19">
        <f>IF(C21="","",IF(IFERROR(INDEX(Teams!$C$5:$C$104,MATCH(B21,Teams!$A$5:$A$104,0))&amp;"","")="","Unmapped",INDEX(Teams!$C$5:$C$104,MATCH(B21,Teams!$A$5:$A$104,0))))</f>
        <v/>
      </c>
      <c r="H21" s="20">
        <f>IF(C21="","",IFERROR(INDEX(Settings!$C$11:$C$25,MATCH(C21&amp;" - "&amp;D21,Settings!$D$11:$D$25,0)),0))</f>
        <v/>
      </c>
      <c r="I21" s="21">
        <f>IF(C21="","",H21*IF(E21="",1,E21/Settings!$B$4))</f>
        <v/>
      </c>
      <c r="J21" s="21">
        <f>IF(OR(C21="",C21="Claude Code"),0,IF(IFERROR(INDEX(Settings!$C$29:$C$31,MATCH(C21,Settings!$A$29:$A$31,0)),"")="",N(F21),IF(SUMIFS($F$5:$F$304,$C$5:$C$304,C21&amp;"")=0,0,N(F21)/SUMIFS($F$5:$F$304,$C$5:$C$304,C21&amp;"")*INDEX(Settings!$C$29:$C$31,MATCH(C21,Settings!$A$29:$A$31,0)))))</f>
        <v/>
      </c>
      <c r="K21" s="21">
        <f>IF(C21="","",I21+J21)</f>
        <v/>
      </c>
      <c r="L21" s="14">
        <f>IF(C21="","",IF(H21=0,IF(ISNUMBER(MATCH(C21&amp;" - "&amp;D21,Settings!$D$11:$D$25,0)),"OK","Tier not in Settings"),IF(G21="Unmapped","Team key not in Teams","OK")))</f>
        <v/>
      </c>
    </row>
    <row r="22">
      <c r="A22" s="16" t="inlineStr">
        <is>
          <t>contractor01@example.com</t>
        </is>
      </c>
      <c r="B22" s="16" t="n"/>
      <c r="C22" s="16" t="inlineStr">
        <is>
          <t>Cursor</t>
        </is>
      </c>
      <c r="D22" s="16" t="inlineStr">
        <is>
          <t>Teams Premium</t>
        </is>
      </c>
      <c r="E22" s="17" t="n"/>
      <c r="F22" s="15" t="n">
        <v>5.6</v>
      </c>
      <c r="G22" s="19">
        <f>IF(C22="","",IF(IFERROR(INDEX(Teams!$C$5:$C$104,MATCH(B22,Teams!$A$5:$A$104,0))&amp;"","")="","Unmapped",INDEX(Teams!$C$5:$C$104,MATCH(B22,Teams!$A$5:$A$104,0))))</f>
        <v/>
      </c>
      <c r="H22" s="20">
        <f>IF(C22="","",IFERROR(INDEX(Settings!$C$11:$C$25,MATCH(C22&amp;" - "&amp;D22,Settings!$D$11:$D$25,0)),0))</f>
        <v/>
      </c>
      <c r="I22" s="21">
        <f>IF(C22="","",H22*IF(E22="",1,E22/Settings!$B$4))</f>
        <v/>
      </c>
      <c r="J22" s="21">
        <f>IF(OR(C22="",C22="Claude Code"),0,IF(IFERROR(INDEX(Settings!$C$29:$C$31,MATCH(C22,Settings!$A$29:$A$31,0)),"")="",N(F22),IF(SUMIFS($F$5:$F$304,$C$5:$C$304,C22&amp;"")=0,0,N(F22)/SUMIFS($F$5:$F$304,$C$5:$C$304,C22&amp;"")*INDEX(Settings!$C$29:$C$31,MATCH(C22,Settings!$A$29:$A$31,0)))))</f>
        <v/>
      </c>
      <c r="K22" s="21">
        <f>IF(C22="","",I22+J22)</f>
        <v/>
      </c>
      <c r="L22" s="14">
        <f>IF(C22="","",IF(H22=0,IF(ISNUMBER(MATCH(C22&amp;" - "&amp;D22,Settings!$D$11:$D$25,0)),"OK","Tier not in Settings"),IF(G22="Unmapped","Team key not in Teams","OK")))</f>
        <v/>
      </c>
    </row>
    <row r="23">
      <c r="A23" s="12" t="n"/>
      <c r="B23" s="12" t="n"/>
      <c r="C23" s="12" t="n"/>
      <c r="D23" s="12" t="n"/>
      <c r="E23" s="18" t="n"/>
      <c r="F23" s="13" t="n"/>
      <c r="G23" s="19">
        <f>IF(C23="","",IF(IFERROR(INDEX(Teams!$C$5:$C$104,MATCH(B23,Teams!$A$5:$A$104,0))&amp;"","")="","Unmapped",INDEX(Teams!$C$5:$C$104,MATCH(B23,Teams!$A$5:$A$104,0))))</f>
        <v/>
      </c>
      <c r="H23" s="20">
        <f>IF(C23="","",IFERROR(INDEX(Settings!$C$11:$C$25,MATCH(C23&amp;" - "&amp;D23,Settings!$D$11:$D$25,0)),0))</f>
        <v/>
      </c>
      <c r="I23" s="21">
        <f>IF(C23="","",H23*IF(E23="",1,E23/Settings!$B$4))</f>
        <v/>
      </c>
      <c r="J23" s="21">
        <f>IF(OR(C23="",C23="Claude Code"),0,IF(IFERROR(INDEX(Settings!$C$29:$C$31,MATCH(C23,Settings!$A$29:$A$31,0)),"")="",N(F23),IF(SUMIFS($F$5:$F$304,$C$5:$C$304,C23&amp;"")=0,0,N(F23)/SUMIFS($F$5:$F$304,$C$5:$C$304,C23&amp;"")*INDEX(Settings!$C$29:$C$31,MATCH(C23,Settings!$A$29:$A$31,0)))))</f>
        <v/>
      </c>
      <c r="K23" s="21">
        <f>IF(C23="","",I23+J23)</f>
        <v/>
      </c>
      <c r="L23" s="14">
        <f>IF(C23="","",IF(H23=0,IF(ISNUMBER(MATCH(C23&amp;" - "&amp;D23,Settings!$D$11:$D$25,0)),"OK","Tier not in Settings"),IF(G23="Unmapped","Team key not in Teams","OK")))</f>
        <v/>
      </c>
    </row>
    <row r="24">
      <c r="A24" s="12" t="n"/>
      <c r="B24" s="12" t="n"/>
      <c r="C24" s="12" t="n"/>
      <c r="D24" s="12" t="n"/>
      <c r="E24" s="18" t="n"/>
      <c r="F24" s="13" t="n"/>
      <c r="G24" s="19">
        <f>IF(C24="","",IF(IFERROR(INDEX(Teams!$C$5:$C$104,MATCH(B24,Teams!$A$5:$A$104,0))&amp;"","")="","Unmapped",INDEX(Teams!$C$5:$C$104,MATCH(B24,Teams!$A$5:$A$104,0))))</f>
        <v/>
      </c>
      <c r="H24" s="20">
        <f>IF(C24="","",IFERROR(INDEX(Settings!$C$11:$C$25,MATCH(C24&amp;" - "&amp;D24,Settings!$D$11:$D$25,0)),0))</f>
        <v/>
      </c>
      <c r="I24" s="21">
        <f>IF(C24="","",H24*IF(E24="",1,E24/Settings!$B$4))</f>
        <v/>
      </c>
      <c r="J24" s="21">
        <f>IF(OR(C24="",C24="Claude Code"),0,IF(IFERROR(INDEX(Settings!$C$29:$C$31,MATCH(C24,Settings!$A$29:$A$31,0)),"")="",N(F24),IF(SUMIFS($F$5:$F$304,$C$5:$C$304,C24&amp;"")=0,0,N(F24)/SUMIFS($F$5:$F$304,$C$5:$C$304,C24&amp;"")*INDEX(Settings!$C$29:$C$31,MATCH(C24,Settings!$A$29:$A$31,0)))))</f>
        <v/>
      </c>
      <c r="K24" s="21">
        <f>IF(C24="","",I24+J24)</f>
        <v/>
      </c>
      <c r="L24" s="14">
        <f>IF(C24="","",IF(H24=0,IF(ISNUMBER(MATCH(C24&amp;" - "&amp;D24,Settings!$D$11:$D$25,0)),"OK","Tier not in Settings"),IF(G24="Unmapped","Team key not in Teams","OK")))</f>
        <v/>
      </c>
    </row>
    <row r="25">
      <c r="A25" s="12" t="n"/>
      <c r="B25" s="12" t="n"/>
      <c r="C25" s="12" t="n"/>
      <c r="D25" s="12" t="n"/>
      <c r="E25" s="18" t="n"/>
      <c r="F25" s="13" t="n"/>
      <c r="G25" s="19">
        <f>IF(C25="","",IF(IFERROR(INDEX(Teams!$C$5:$C$104,MATCH(B25,Teams!$A$5:$A$104,0))&amp;"","")="","Unmapped",INDEX(Teams!$C$5:$C$104,MATCH(B25,Teams!$A$5:$A$104,0))))</f>
        <v/>
      </c>
      <c r="H25" s="20">
        <f>IF(C25="","",IFERROR(INDEX(Settings!$C$11:$C$25,MATCH(C25&amp;" - "&amp;D25,Settings!$D$11:$D$25,0)),0))</f>
        <v/>
      </c>
      <c r="I25" s="21">
        <f>IF(C25="","",H25*IF(E25="",1,E25/Settings!$B$4))</f>
        <v/>
      </c>
      <c r="J25" s="21">
        <f>IF(OR(C25="",C25="Claude Code"),0,IF(IFERROR(INDEX(Settings!$C$29:$C$31,MATCH(C25,Settings!$A$29:$A$31,0)),"")="",N(F25),IF(SUMIFS($F$5:$F$304,$C$5:$C$304,C25&amp;"")=0,0,N(F25)/SUMIFS($F$5:$F$304,$C$5:$C$304,C25&amp;"")*INDEX(Settings!$C$29:$C$31,MATCH(C25,Settings!$A$29:$A$31,0)))))</f>
        <v/>
      </c>
      <c r="K25" s="21">
        <f>IF(C25="","",I25+J25)</f>
        <v/>
      </c>
      <c r="L25" s="14">
        <f>IF(C25="","",IF(H25=0,IF(ISNUMBER(MATCH(C25&amp;" - "&amp;D25,Settings!$D$11:$D$25,0)),"OK","Tier not in Settings"),IF(G25="Unmapped","Team key not in Teams","OK")))</f>
        <v/>
      </c>
    </row>
    <row r="26">
      <c r="A26" s="12" t="n"/>
      <c r="B26" s="12" t="n"/>
      <c r="C26" s="12" t="n"/>
      <c r="D26" s="12" t="n"/>
      <c r="E26" s="18" t="n"/>
      <c r="F26" s="13" t="n"/>
      <c r="G26" s="19">
        <f>IF(C26="","",IF(IFERROR(INDEX(Teams!$C$5:$C$104,MATCH(B26,Teams!$A$5:$A$104,0))&amp;"","")="","Unmapped",INDEX(Teams!$C$5:$C$104,MATCH(B26,Teams!$A$5:$A$104,0))))</f>
        <v/>
      </c>
      <c r="H26" s="20">
        <f>IF(C26="","",IFERROR(INDEX(Settings!$C$11:$C$25,MATCH(C26&amp;" - "&amp;D26,Settings!$D$11:$D$25,0)),0))</f>
        <v/>
      </c>
      <c r="I26" s="21">
        <f>IF(C26="","",H26*IF(E26="",1,E26/Settings!$B$4))</f>
        <v/>
      </c>
      <c r="J26" s="21">
        <f>IF(OR(C26="",C26="Claude Code"),0,IF(IFERROR(INDEX(Settings!$C$29:$C$31,MATCH(C26,Settings!$A$29:$A$31,0)),"")="",N(F26),IF(SUMIFS($F$5:$F$304,$C$5:$C$304,C26&amp;"")=0,0,N(F26)/SUMIFS($F$5:$F$304,$C$5:$C$304,C26&amp;"")*INDEX(Settings!$C$29:$C$31,MATCH(C26,Settings!$A$29:$A$31,0)))))</f>
        <v/>
      </c>
      <c r="K26" s="21">
        <f>IF(C26="","",I26+J26)</f>
        <v/>
      </c>
      <c r="L26" s="14">
        <f>IF(C26="","",IF(H26=0,IF(ISNUMBER(MATCH(C26&amp;" - "&amp;D26,Settings!$D$11:$D$25,0)),"OK","Tier not in Settings"),IF(G26="Unmapped","Team key not in Teams","OK")))</f>
        <v/>
      </c>
    </row>
    <row r="27">
      <c r="A27" s="12" t="n"/>
      <c r="B27" s="12" t="n"/>
      <c r="C27" s="12" t="n"/>
      <c r="D27" s="12" t="n"/>
      <c r="E27" s="18" t="n"/>
      <c r="F27" s="13" t="n"/>
      <c r="G27" s="19">
        <f>IF(C27="","",IF(IFERROR(INDEX(Teams!$C$5:$C$104,MATCH(B27,Teams!$A$5:$A$104,0))&amp;"","")="","Unmapped",INDEX(Teams!$C$5:$C$104,MATCH(B27,Teams!$A$5:$A$104,0))))</f>
        <v/>
      </c>
      <c r="H27" s="20">
        <f>IF(C27="","",IFERROR(INDEX(Settings!$C$11:$C$25,MATCH(C27&amp;" - "&amp;D27,Settings!$D$11:$D$25,0)),0))</f>
        <v/>
      </c>
      <c r="I27" s="21">
        <f>IF(C27="","",H27*IF(E27="",1,E27/Settings!$B$4))</f>
        <v/>
      </c>
      <c r="J27" s="21">
        <f>IF(OR(C27="",C27="Claude Code"),0,IF(IFERROR(INDEX(Settings!$C$29:$C$31,MATCH(C27,Settings!$A$29:$A$31,0)),"")="",N(F27),IF(SUMIFS($F$5:$F$304,$C$5:$C$304,C27&amp;"")=0,0,N(F27)/SUMIFS($F$5:$F$304,$C$5:$C$304,C27&amp;"")*INDEX(Settings!$C$29:$C$31,MATCH(C27,Settings!$A$29:$A$31,0)))))</f>
        <v/>
      </c>
      <c r="K27" s="21">
        <f>IF(C27="","",I27+J27)</f>
        <v/>
      </c>
      <c r="L27" s="14">
        <f>IF(C27="","",IF(H27=0,IF(ISNUMBER(MATCH(C27&amp;" - "&amp;D27,Settings!$D$11:$D$25,0)),"OK","Tier not in Settings"),IF(G27="Unmapped","Team key not in Teams","OK")))</f>
        <v/>
      </c>
    </row>
    <row r="28">
      <c r="A28" s="12" t="n"/>
      <c r="B28" s="12" t="n"/>
      <c r="C28" s="12" t="n"/>
      <c r="D28" s="12" t="n"/>
      <c r="E28" s="18" t="n"/>
      <c r="F28" s="13" t="n"/>
      <c r="G28" s="19">
        <f>IF(C28="","",IF(IFERROR(INDEX(Teams!$C$5:$C$104,MATCH(B28,Teams!$A$5:$A$104,0))&amp;"","")="","Unmapped",INDEX(Teams!$C$5:$C$104,MATCH(B28,Teams!$A$5:$A$104,0))))</f>
        <v/>
      </c>
      <c r="H28" s="20">
        <f>IF(C28="","",IFERROR(INDEX(Settings!$C$11:$C$25,MATCH(C28&amp;" - "&amp;D28,Settings!$D$11:$D$25,0)),0))</f>
        <v/>
      </c>
      <c r="I28" s="21">
        <f>IF(C28="","",H28*IF(E28="",1,E28/Settings!$B$4))</f>
        <v/>
      </c>
      <c r="J28" s="21">
        <f>IF(OR(C28="",C28="Claude Code"),0,IF(IFERROR(INDEX(Settings!$C$29:$C$31,MATCH(C28,Settings!$A$29:$A$31,0)),"")="",N(F28),IF(SUMIFS($F$5:$F$304,$C$5:$C$304,C28&amp;"")=0,0,N(F28)/SUMIFS($F$5:$F$304,$C$5:$C$304,C28&amp;"")*INDEX(Settings!$C$29:$C$31,MATCH(C28,Settings!$A$29:$A$31,0)))))</f>
        <v/>
      </c>
      <c r="K28" s="21">
        <f>IF(C28="","",I28+J28)</f>
        <v/>
      </c>
      <c r="L28" s="14">
        <f>IF(C28="","",IF(H28=0,IF(ISNUMBER(MATCH(C28&amp;" - "&amp;D28,Settings!$D$11:$D$25,0)),"OK","Tier not in Settings"),IF(G28="Unmapped","Team key not in Teams","OK")))</f>
        <v/>
      </c>
    </row>
    <row r="29">
      <c r="A29" s="12" t="n"/>
      <c r="B29" s="12" t="n"/>
      <c r="C29" s="12" t="n"/>
      <c r="D29" s="12" t="n"/>
      <c r="E29" s="18" t="n"/>
      <c r="F29" s="13" t="n"/>
      <c r="G29" s="19">
        <f>IF(C29="","",IF(IFERROR(INDEX(Teams!$C$5:$C$104,MATCH(B29,Teams!$A$5:$A$104,0))&amp;"","")="","Unmapped",INDEX(Teams!$C$5:$C$104,MATCH(B29,Teams!$A$5:$A$104,0))))</f>
        <v/>
      </c>
      <c r="H29" s="20">
        <f>IF(C29="","",IFERROR(INDEX(Settings!$C$11:$C$25,MATCH(C29&amp;" - "&amp;D29,Settings!$D$11:$D$25,0)),0))</f>
        <v/>
      </c>
      <c r="I29" s="21">
        <f>IF(C29="","",H29*IF(E29="",1,E29/Settings!$B$4))</f>
        <v/>
      </c>
      <c r="J29" s="21">
        <f>IF(OR(C29="",C29="Claude Code"),0,IF(IFERROR(INDEX(Settings!$C$29:$C$31,MATCH(C29,Settings!$A$29:$A$31,0)),"")="",N(F29),IF(SUMIFS($F$5:$F$304,$C$5:$C$304,C29&amp;"")=0,0,N(F29)/SUMIFS($F$5:$F$304,$C$5:$C$304,C29&amp;"")*INDEX(Settings!$C$29:$C$31,MATCH(C29,Settings!$A$29:$A$31,0)))))</f>
        <v/>
      </c>
      <c r="K29" s="21">
        <f>IF(C29="","",I29+J29)</f>
        <v/>
      </c>
      <c r="L29" s="14">
        <f>IF(C29="","",IF(H29=0,IF(ISNUMBER(MATCH(C29&amp;" - "&amp;D29,Settings!$D$11:$D$25,0)),"OK","Tier not in Settings"),IF(G29="Unmapped","Team key not in Teams","OK")))</f>
        <v/>
      </c>
    </row>
    <row r="30">
      <c r="A30" s="12" t="n"/>
      <c r="B30" s="12" t="n"/>
      <c r="C30" s="12" t="n"/>
      <c r="D30" s="12" t="n"/>
      <c r="E30" s="18" t="n"/>
      <c r="F30" s="13" t="n"/>
      <c r="G30" s="19">
        <f>IF(C30="","",IF(IFERROR(INDEX(Teams!$C$5:$C$104,MATCH(B30,Teams!$A$5:$A$104,0))&amp;"","")="","Unmapped",INDEX(Teams!$C$5:$C$104,MATCH(B30,Teams!$A$5:$A$104,0))))</f>
        <v/>
      </c>
      <c r="H30" s="20">
        <f>IF(C30="","",IFERROR(INDEX(Settings!$C$11:$C$25,MATCH(C30&amp;" - "&amp;D30,Settings!$D$11:$D$25,0)),0))</f>
        <v/>
      </c>
      <c r="I30" s="21">
        <f>IF(C30="","",H30*IF(E30="",1,E30/Settings!$B$4))</f>
        <v/>
      </c>
      <c r="J30" s="21">
        <f>IF(OR(C30="",C30="Claude Code"),0,IF(IFERROR(INDEX(Settings!$C$29:$C$31,MATCH(C30,Settings!$A$29:$A$31,0)),"")="",N(F30),IF(SUMIFS($F$5:$F$304,$C$5:$C$304,C30&amp;"")=0,0,N(F30)/SUMIFS($F$5:$F$304,$C$5:$C$304,C30&amp;"")*INDEX(Settings!$C$29:$C$31,MATCH(C30,Settings!$A$29:$A$31,0)))))</f>
        <v/>
      </c>
      <c r="K30" s="21">
        <f>IF(C30="","",I30+J30)</f>
        <v/>
      </c>
      <c r="L30" s="14">
        <f>IF(C30="","",IF(H30=0,IF(ISNUMBER(MATCH(C30&amp;" - "&amp;D30,Settings!$D$11:$D$25,0)),"OK","Tier not in Settings"),IF(G30="Unmapped","Team key not in Teams","OK")))</f>
        <v/>
      </c>
    </row>
    <row r="31">
      <c r="A31" s="12" t="n"/>
      <c r="B31" s="12" t="n"/>
      <c r="C31" s="12" t="n"/>
      <c r="D31" s="12" t="n"/>
      <c r="E31" s="18" t="n"/>
      <c r="F31" s="13" t="n"/>
      <c r="G31" s="19">
        <f>IF(C31="","",IF(IFERROR(INDEX(Teams!$C$5:$C$104,MATCH(B31,Teams!$A$5:$A$104,0))&amp;"","")="","Unmapped",INDEX(Teams!$C$5:$C$104,MATCH(B31,Teams!$A$5:$A$104,0))))</f>
        <v/>
      </c>
      <c r="H31" s="20">
        <f>IF(C31="","",IFERROR(INDEX(Settings!$C$11:$C$25,MATCH(C31&amp;" - "&amp;D31,Settings!$D$11:$D$25,0)),0))</f>
        <v/>
      </c>
      <c r="I31" s="21">
        <f>IF(C31="","",H31*IF(E31="",1,E31/Settings!$B$4))</f>
        <v/>
      </c>
      <c r="J31" s="21">
        <f>IF(OR(C31="",C31="Claude Code"),0,IF(IFERROR(INDEX(Settings!$C$29:$C$31,MATCH(C31,Settings!$A$29:$A$31,0)),"")="",N(F31),IF(SUMIFS($F$5:$F$304,$C$5:$C$304,C31&amp;"")=0,0,N(F31)/SUMIFS($F$5:$F$304,$C$5:$C$304,C31&amp;"")*INDEX(Settings!$C$29:$C$31,MATCH(C31,Settings!$A$29:$A$31,0)))))</f>
        <v/>
      </c>
      <c r="K31" s="21">
        <f>IF(C31="","",I31+J31)</f>
        <v/>
      </c>
      <c r="L31" s="14">
        <f>IF(C31="","",IF(H31=0,IF(ISNUMBER(MATCH(C31&amp;" - "&amp;D31,Settings!$D$11:$D$25,0)),"OK","Tier not in Settings"),IF(G31="Unmapped","Team key not in Teams","OK")))</f>
        <v/>
      </c>
    </row>
    <row r="32">
      <c r="A32" s="12" t="n"/>
      <c r="B32" s="12" t="n"/>
      <c r="C32" s="12" t="n"/>
      <c r="D32" s="12" t="n"/>
      <c r="E32" s="18" t="n"/>
      <c r="F32" s="13" t="n"/>
      <c r="G32" s="19">
        <f>IF(C32="","",IF(IFERROR(INDEX(Teams!$C$5:$C$104,MATCH(B32,Teams!$A$5:$A$104,0))&amp;"","")="","Unmapped",INDEX(Teams!$C$5:$C$104,MATCH(B32,Teams!$A$5:$A$104,0))))</f>
        <v/>
      </c>
      <c r="H32" s="20">
        <f>IF(C32="","",IFERROR(INDEX(Settings!$C$11:$C$25,MATCH(C32&amp;" - "&amp;D32,Settings!$D$11:$D$25,0)),0))</f>
        <v/>
      </c>
      <c r="I32" s="21">
        <f>IF(C32="","",H32*IF(E32="",1,E32/Settings!$B$4))</f>
        <v/>
      </c>
      <c r="J32" s="21">
        <f>IF(OR(C32="",C32="Claude Code"),0,IF(IFERROR(INDEX(Settings!$C$29:$C$31,MATCH(C32,Settings!$A$29:$A$31,0)),"")="",N(F32),IF(SUMIFS($F$5:$F$304,$C$5:$C$304,C32&amp;"")=0,0,N(F32)/SUMIFS($F$5:$F$304,$C$5:$C$304,C32&amp;"")*INDEX(Settings!$C$29:$C$31,MATCH(C32,Settings!$A$29:$A$31,0)))))</f>
        <v/>
      </c>
      <c r="K32" s="21">
        <f>IF(C32="","",I32+J32)</f>
        <v/>
      </c>
      <c r="L32" s="14">
        <f>IF(C32="","",IF(H32=0,IF(ISNUMBER(MATCH(C32&amp;" - "&amp;D32,Settings!$D$11:$D$25,0)),"OK","Tier not in Settings"),IF(G32="Unmapped","Team key not in Teams","OK")))</f>
        <v/>
      </c>
    </row>
    <row r="33">
      <c r="A33" s="12" t="n"/>
      <c r="B33" s="12" t="n"/>
      <c r="C33" s="12" t="n"/>
      <c r="D33" s="12" t="n"/>
      <c r="E33" s="18" t="n"/>
      <c r="F33" s="13" t="n"/>
      <c r="G33" s="19">
        <f>IF(C33="","",IF(IFERROR(INDEX(Teams!$C$5:$C$104,MATCH(B33,Teams!$A$5:$A$104,0))&amp;"","")="","Unmapped",INDEX(Teams!$C$5:$C$104,MATCH(B33,Teams!$A$5:$A$104,0))))</f>
        <v/>
      </c>
      <c r="H33" s="20">
        <f>IF(C33="","",IFERROR(INDEX(Settings!$C$11:$C$25,MATCH(C33&amp;" - "&amp;D33,Settings!$D$11:$D$25,0)),0))</f>
        <v/>
      </c>
      <c r="I33" s="21">
        <f>IF(C33="","",H33*IF(E33="",1,E33/Settings!$B$4))</f>
        <v/>
      </c>
      <c r="J33" s="21">
        <f>IF(OR(C33="",C33="Claude Code"),0,IF(IFERROR(INDEX(Settings!$C$29:$C$31,MATCH(C33,Settings!$A$29:$A$31,0)),"")="",N(F33),IF(SUMIFS($F$5:$F$304,$C$5:$C$304,C33&amp;"")=0,0,N(F33)/SUMIFS($F$5:$F$304,$C$5:$C$304,C33&amp;"")*INDEX(Settings!$C$29:$C$31,MATCH(C33,Settings!$A$29:$A$31,0)))))</f>
        <v/>
      </c>
      <c r="K33" s="21">
        <f>IF(C33="","",I33+J33)</f>
        <v/>
      </c>
      <c r="L33" s="14">
        <f>IF(C33="","",IF(H33=0,IF(ISNUMBER(MATCH(C33&amp;" - "&amp;D33,Settings!$D$11:$D$25,0)),"OK","Tier not in Settings"),IF(G33="Unmapped","Team key not in Teams","OK")))</f>
        <v/>
      </c>
    </row>
    <row r="34">
      <c r="A34" s="12" t="n"/>
      <c r="B34" s="12" t="n"/>
      <c r="C34" s="12" t="n"/>
      <c r="D34" s="12" t="n"/>
      <c r="E34" s="18" t="n"/>
      <c r="F34" s="13" t="n"/>
      <c r="G34" s="19">
        <f>IF(C34="","",IF(IFERROR(INDEX(Teams!$C$5:$C$104,MATCH(B34,Teams!$A$5:$A$104,0))&amp;"","")="","Unmapped",INDEX(Teams!$C$5:$C$104,MATCH(B34,Teams!$A$5:$A$104,0))))</f>
        <v/>
      </c>
      <c r="H34" s="20">
        <f>IF(C34="","",IFERROR(INDEX(Settings!$C$11:$C$25,MATCH(C34&amp;" - "&amp;D34,Settings!$D$11:$D$25,0)),0))</f>
        <v/>
      </c>
      <c r="I34" s="21">
        <f>IF(C34="","",H34*IF(E34="",1,E34/Settings!$B$4))</f>
        <v/>
      </c>
      <c r="J34" s="21">
        <f>IF(OR(C34="",C34="Claude Code"),0,IF(IFERROR(INDEX(Settings!$C$29:$C$31,MATCH(C34,Settings!$A$29:$A$31,0)),"")="",N(F34),IF(SUMIFS($F$5:$F$304,$C$5:$C$304,C34&amp;"")=0,0,N(F34)/SUMIFS($F$5:$F$304,$C$5:$C$304,C34&amp;"")*INDEX(Settings!$C$29:$C$31,MATCH(C34,Settings!$A$29:$A$31,0)))))</f>
        <v/>
      </c>
      <c r="K34" s="21">
        <f>IF(C34="","",I34+J34)</f>
        <v/>
      </c>
      <c r="L34" s="14">
        <f>IF(C34="","",IF(H34=0,IF(ISNUMBER(MATCH(C34&amp;" - "&amp;D34,Settings!$D$11:$D$25,0)),"OK","Tier not in Settings"),IF(G34="Unmapped","Team key not in Teams","OK")))</f>
        <v/>
      </c>
    </row>
    <row r="35">
      <c r="A35" s="12" t="n"/>
      <c r="B35" s="12" t="n"/>
      <c r="C35" s="12" t="n"/>
      <c r="D35" s="12" t="n"/>
      <c r="E35" s="18" t="n"/>
      <c r="F35" s="13" t="n"/>
      <c r="G35" s="19">
        <f>IF(C35="","",IF(IFERROR(INDEX(Teams!$C$5:$C$104,MATCH(B35,Teams!$A$5:$A$104,0))&amp;"","")="","Unmapped",INDEX(Teams!$C$5:$C$104,MATCH(B35,Teams!$A$5:$A$104,0))))</f>
        <v/>
      </c>
      <c r="H35" s="20">
        <f>IF(C35="","",IFERROR(INDEX(Settings!$C$11:$C$25,MATCH(C35&amp;" - "&amp;D35,Settings!$D$11:$D$25,0)),0))</f>
        <v/>
      </c>
      <c r="I35" s="21">
        <f>IF(C35="","",H35*IF(E35="",1,E35/Settings!$B$4))</f>
        <v/>
      </c>
      <c r="J35" s="21">
        <f>IF(OR(C35="",C35="Claude Code"),0,IF(IFERROR(INDEX(Settings!$C$29:$C$31,MATCH(C35,Settings!$A$29:$A$31,0)),"")="",N(F35),IF(SUMIFS($F$5:$F$304,$C$5:$C$304,C35&amp;"")=0,0,N(F35)/SUMIFS($F$5:$F$304,$C$5:$C$304,C35&amp;"")*INDEX(Settings!$C$29:$C$31,MATCH(C35,Settings!$A$29:$A$31,0)))))</f>
        <v/>
      </c>
      <c r="K35" s="21">
        <f>IF(C35="","",I35+J35)</f>
        <v/>
      </c>
      <c r="L35" s="14">
        <f>IF(C35="","",IF(H35=0,IF(ISNUMBER(MATCH(C35&amp;" - "&amp;D35,Settings!$D$11:$D$25,0)),"OK","Tier not in Settings"),IF(G35="Unmapped","Team key not in Teams","OK")))</f>
        <v/>
      </c>
    </row>
    <row r="36">
      <c r="A36" s="12" t="n"/>
      <c r="B36" s="12" t="n"/>
      <c r="C36" s="12" t="n"/>
      <c r="D36" s="12" t="n"/>
      <c r="E36" s="18" t="n"/>
      <c r="F36" s="13" t="n"/>
      <c r="G36" s="19">
        <f>IF(C36="","",IF(IFERROR(INDEX(Teams!$C$5:$C$104,MATCH(B36,Teams!$A$5:$A$104,0))&amp;"","")="","Unmapped",INDEX(Teams!$C$5:$C$104,MATCH(B36,Teams!$A$5:$A$104,0))))</f>
        <v/>
      </c>
      <c r="H36" s="20">
        <f>IF(C36="","",IFERROR(INDEX(Settings!$C$11:$C$25,MATCH(C36&amp;" - "&amp;D36,Settings!$D$11:$D$25,0)),0))</f>
        <v/>
      </c>
      <c r="I36" s="21">
        <f>IF(C36="","",H36*IF(E36="",1,E36/Settings!$B$4))</f>
        <v/>
      </c>
      <c r="J36" s="21">
        <f>IF(OR(C36="",C36="Claude Code"),0,IF(IFERROR(INDEX(Settings!$C$29:$C$31,MATCH(C36,Settings!$A$29:$A$31,0)),"")="",N(F36),IF(SUMIFS($F$5:$F$304,$C$5:$C$304,C36&amp;"")=0,0,N(F36)/SUMIFS($F$5:$F$304,$C$5:$C$304,C36&amp;"")*INDEX(Settings!$C$29:$C$31,MATCH(C36,Settings!$A$29:$A$31,0)))))</f>
        <v/>
      </c>
      <c r="K36" s="21">
        <f>IF(C36="","",I36+J36)</f>
        <v/>
      </c>
      <c r="L36" s="14">
        <f>IF(C36="","",IF(H36=0,IF(ISNUMBER(MATCH(C36&amp;" - "&amp;D36,Settings!$D$11:$D$25,0)),"OK","Tier not in Settings"),IF(G36="Unmapped","Team key not in Teams","OK")))</f>
        <v/>
      </c>
    </row>
    <row r="37">
      <c r="A37" s="12" t="n"/>
      <c r="B37" s="12" t="n"/>
      <c r="C37" s="12" t="n"/>
      <c r="D37" s="12" t="n"/>
      <c r="E37" s="18" t="n"/>
      <c r="F37" s="13" t="n"/>
      <c r="G37" s="19">
        <f>IF(C37="","",IF(IFERROR(INDEX(Teams!$C$5:$C$104,MATCH(B37,Teams!$A$5:$A$104,0))&amp;"","")="","Unmapped",INDEX(Teams!$C$5:$C$104,MATCH(B37,Teams!$A$5:$A$104,0))))</f>
        <v/>
      </c>
      <c r="H37" s="20">
        <f>IF(C37="","",IFERROR(INDEX(Settings!$C$11:$C$25,MATCH(C37&amp;" - "&amp;D37,Settings!$D$11:$D$25,0)),0))</f>
        <v/>
      </c>
      <c r="I37" s="21">
        <f>IF(C37="","",H37*IF(E37="",1,E37/Settings!$B$4))</f>
        <v/>
      </c>
      <c r="J37" s="21">
        <f>IF(OR(C37="",C37="Claude Code"),0,IF(IFERROR(INDEX(Settings!$C$29:$C$31,MATCH(C37,Settings!$A$29:$A$31,0)),"")="",N(F37),IF(SUMIFS($F$5:$F$304,$C$5:$C$304,C37&amp;"")=0,0,N(F37)/SUMIFS($F$5:$F$304,$C$5:$C$304,C37&amp;"")*INDEX(Settings!$C$29:$C$31,MATCH(C37,Settings!$A$29:$A$31,0)))))</f>
        <v/>
      </c>
      <c r="K37" s="21">
        <f>IF(C37="","",I37+J37)</f>
        <v/>
      </c>
      <c r="L37" s="14">
        <f>IF(C37="","",IF(H37=0,IF(ISNUMBER(MATCH(C37&amp;" - "&amp;D37,Settings!$D$11:$D$25,0)),"OK","Tier not in Settings"),IF(G37="Unmapped","Team key not in Teams","OK")))</f>
        <v/>
      </c>
    </row>
    <row r="38">
      <c r="A38" s="12" t="n"/>
      <c r="B38" s="12" t="n"/>
      <c r="C38" s="12" t="n"/>
      <c r="D38" s="12" t="n"/>
      <c r="E38" s="18" t="n"/>
      <c r="F38" s="13" t="n"/>
      <c r="G38" s="19">
        <f>IF(C38="","",IF(IFERROR(INDEX(Teams!$C$5:$C$104,MATCH(B38,Teams!$A$5:$A$104,0))&amp;"","")="","Unmapped",INDEX(Teams!$C$5:$C$104,MATCH(B38,Teams!$A$5:$A$104,0))))</f>
        <v/>
      </c>
      <c r="H38" s="20">
        <f>IF(C38="","",IFERROR(INDEX(Settings!$C$11:$C$25,MATCH(C38&amp;" - "&amp;D38,Settings!$D$11:$D$25,0)),0))</f>
        <v/>
      </c>
      <c r="I38" s="21">
        <f>IF(C38="","",H38*IF(E38="",1,E38/Settings!$B$4))</f>
        <v/>
      </c>
      <c r="J38" s="21">
        <f>IF(OR(C38="",C38="Claude Code"),0,IF(IFERROR(INDEX(Settings!$C$29:$C$31,MATCH(C38,Settings!$A$29:$A$31,0)),"")="",N(F38),IF(SUMIFS($F$5:$F$304,$C$5:$C$304,C38&amp;"")=0,0,N(F38)/SUMIFS($F$5:$F$304,$C$5:$C$304,C38&amp;"")*INDEX(Settings!$C$29:$C$31,MATCH(C38,Settings!$A$29:$A$31,0)))))</f>
        <v/>
      </c>
      <c r="K38" s="21">
        <f>IF(C38="","",I38+J38)</f>
        <v/>
      </c>
      <c r="L38" s="14">
        <f>IF(C38="","",IF(H38=0,IF(ISNUMBER(MATCH(C38&amp;" - "&amp;D38,Settings!$D$11:$D$25,0)),"OK","Tier not in Settings"),IF(G38="Unmapped","Team key not in Teams","OK")))</f>
        <v/>
      </c>
    </row>
    <row r="39">
      <c r="A39" s="12" t="n"/>
      <c r="B39" s="12" t="n"/>
      <c r="C39" s="12" t="n"/>
      <c r="D39" s="12" t="n"/>
      <c r="E39" s="18" t="n"/>
      <c r="F39" s="13" t="n"/>
      <c r="G39" s="19">
        <f>IF(C39="","",IF(IFERROR(INDEX(Teams!$C$5:$C$104,MATCH(B39,Teams!$A$5:$A$104,0))&amp;"","")="","Unmapped",INDEX(Teams!$C$5:$C$104,MATCH(B39,Teams!$A$5:$A$104,0))))</f>
        <v/>
      </c>
      <c r="H39" s="20">
        <f>IF(C39="","",IFERROR(INDEX(Settings!$C$11:$C$25,MATCH(C39&amp;" - "&amp;D39,Settings!$D$11:$D$25,0)),0))</f>
        <v/>
      </c>
      <c r="I39" s="21">
        <f>IF(C39="","",H39*IF(E39="",1,E39/Settings!$B$4))</f>
        <v/>
      </c>
      <c r="J39" s="21">
        <f>IF(OR(C39="",C39="Claude Code"),0,IF(IFERROR(INDEX(Settings!$C$29:$C$31,MATCH(C39,Settings!$A$29:$A$31,0)),"")="",N(F39),IF(SUMIFS($F$5:$F$304,$C$5:$C$304,C39&amp;"")=0,0,N(F39)/SUMIFS($F$5:$F$304,$C$5:$C$304,C39&amp;"")*INDEX(Settings!$C$29:$C$31,MATCH(C39,Settings!$A$29:$A$31,0)))))</f>
        <v/>
      </c>
      <c r="K39" s="21">
        <f>IF(C39="","",I39+J39)</f>
        <v/>
      </c>
      <c r="L39" s="14">
        <f>IF(C39="","",IF(H39=0,IF(ISNUMBER(MATCH(C39&amp;" - "&amp;D39,Settings!$D$11:$D$25,0)),"OK","Tier not in Settings"),IF(G39="Unmapped","Team key not in Teams","OK")))</f>
        <v/>
      </c>
    </row>
    <row r="40">
      <c r="A40" s="12" t="n"/>
      <c r="B40" s="12" t="n"/>
      <c r="C40" s="12" t="n"/>
      <c r="D40" s="12" t="n"/>
      <c r="E40" s="18" t="n"/>
      <c r="F40" s="13" t="n"/>
      <c r="G40" s="19">
        <f>IF(C40="","",IF(IFERROR(INDEX(Teams!$C$5:$C$104,MATCH(B40,Teams!$A$5:$A$104,0))&amp;"","")="","Unmapped",INDEX(Teams!$C$5:$C$104,MATCH(B40,Teams!$A$5:$A$104,0))))</f>
        <v/>
      </c>
      <c r="H40" s="20">
        <f>IF(C40="","",IFERROR(INDEX(Settings!$C$11:$C$25,MATCH(C40&amp;" - "&amp;D40,Settings!$D$11:$D$25,0)),0))</f>
        <v/>
      </c>
      <c r="I40" s="21">
        <f>IF(C40="","",H40*IF(E40="",1,E40/Settings!$B$4))</f>
        <v/>
      </c>
      <c r="J40" s="21">
        <f>IF(OR(C40="",C40="Claude Code"),0,IF(IFERROR(INDEX(Settings!$C$29:$C$31,MATCH(C40,Settings!$A$29:$A$31,0)),"")="",N(F40),IF(SUMIFS($F$5:$F$304,$C$5:$C$304,C40&amp;"")=0,0,N(F40)/SUMIFS($F$5:$F$304,$C$5:$C$304,C40&amp;"")*INDEX(Settings!$C$29:$C$31,MATCH(C40,Settings!$A$29:$A$31,0)))))</f>
        <v/>
      </c>
      <c r="K40" s="21">
        <f>IF(C40="","",I40+J40)</f>
        <v/>
      </c>
      <c r="L40" s="14">
        <f>IF(C40="","",IF(H40=0,IF(ISNUMBER(MATCH(C40&amp;" - "&amp;D40,Settings!$D$11:$D$25,0)),"OK","Tier not in Settings"),IF(G40="Unmapped","Team key not in Teams","OK")))</f>
        <v/>
      </c>
    </row>
    <row r="41">
      <c r="A41" s="12" t="n"/>
      <c r="B41" s="12" t="n"/>
      <c r="C41" s="12" t="n"/>
      <c r="D41" s="12" t="n"/>
      <c r="E41" s="18" t="n"/>
      <c r="F41" s="13" t="n"/>
      <c r="G41" s="19">
        <f>IF(C41="","",IF(IFERROR(INDEX(Teams!$C$5:$C$104,MATCH(B41,Teams!$A$5:$A$104,0))&amp;"","")="","Unmapped",INDEX(Teams!$C$5:$C$104,MATCH(B41,Teams!$A$5:$A$104,0))))</f>
        <v/>
      </c>
      <c r="H41" s="20">
        <f>IF(C41="","",IFERROR(INDEX(Settings!$C$11:$C$25,MATCH(C41&amp;" - "&amp;D41,Settings!$D$11:$D$25,0)),0))</f>
        <v/>
      </c>
      <c r="I41" s="21">
        <f>IF(C41="","",H41*IF(E41="",1,E41/Settings!$B$4))</f>
        <v/>
      </c>
      <c r="J41" s="21">
        <f>IF(OR(C41="",C41="Claude Code"),0,IF(IFERROR(INDEX(Settings!$C$29:$C$31,MATCH(C41,Settings!$A$29:$A$31,0)),"")="",N(F41),IF(SUMIFS($F$5:$F$304,$C$5:$C$304,C41&amp;"")=0,0,N(F41)/SUMIFS($F$5:$F$304,$C$5:$C$304,C41&amp;"")*INDEX(Settings!$C$29:$C$31,MATCH(C41,Settings!$A$29:$A$31,0)))))</f>
        <v/>
      </c>
      <c r="K41" s="21">
        <f>IF(C41="","",I41+J41)</f>
        <v/>
      </c>
      <c r="L41" s="14">
        <f>IF(C41="","",IF(H41=0,IF(ISNUMBER(MATCH(C41&amp;" - "&amp;D41,Settings!$D$11:$D$25,0)),"OK","Tier not in Settings"),IF(G41="Unmapped","Team key not in Teams","OK")))</f>
        <v/>
      </c>
    </row>
    <row r="42">
      <c r="A42" s="12" t="n"/>
      <c r="B42" s="12" t="n"/>
      <c r="C42" s="12" t="n"/>
      <c r="D42" s="12" t="n"/>
      <c r="E42" s="18" t="n"/>
      <c r="F42" s="13" t="n"/>
      <c r="G42" s="19">
        <f>IF(C42="","",IF(IFERROR(INDEX(Teams!$C$5:$C$104,MATCH(B42,Teams!$A$5:$A$104,0))&amp;"","")="","Unmapped",INDEX(Teams!$C$5:$C$104,MATCH(B42,Teams!$A$5:$A$104,0))))</f>
        <v/>
      </c>
      <c r="H42" s="20">
        <f>IF(C42="","",IFERROR(INDEX(Settings!$C$11:$C$25,MATCH(C42&amp;" - "&amp;D42,Settings!$D$11:$D$25,0)),0))</f>
        <v/>
      </c>
      <c r="I42" s="21">
        <f>IF(C42="","",H42*IF(E42="",1,E42/Settings!$B$4))</f>
        <v/>
      </c>
      <c r="J42" s="21">
        <f>IF(OR(C42="",C42="Claude Code"),0,IF(IFERROR(INDEX(Settings!$C$29:$C$31,MATCH(C42,Settings!$A$29:$A$31,0)),"")="",N(F42),IF(SUMIFS($F$5:$F$304,$C$5:$C$304,C42&amp;"")=0,0,N(F42)/SUMIFS($F$5:$F$304,$C$5:$C$304,C42&amp;"")*INDEX(Settings!$C$29:$C$31,MATCH(C42,Settings!$A$29:$A$31,0)))))</f>
        <v/>
      </c>
      <c r="K42" s="21">
        <f>IF(C42="","",I42+J42)</f>
        <v/>
      </c>
      <c r="L42" s="14">
        <f>IF(C42="","",IF(H42=0,IF(ISNUMBER(MATCH(C42&amp;" - "&amp;D42,Settings!$D$11:$D$25,0)),"OK","Tier not in Settings"),IF(G42="Unmapped","Team key not in Teams","OK")))</f>
        <v/>
      </c>
    </row>
    <row r="43">
      <c r="A43" s="12" t="n"/>
      <c r="B43" s="12" t="n"/>
      <c r="C43" s="12" t="n"/>
      <c r="D43" s="12" t="n"/>
      <c r="E43" s="18" t="n"/>
      <c r="F43" s="13" t="n"/>
      <c r="G43" s="19">
        <f>IF(C43="","",IF(IFERROR(INDEX(Teams!$C$5:$C$104,MATCH(B43,Teams!$A$5:$A$104,0))&amp;"","")="","Unmapped",INDEX(Teams!$C$5:$C$104,MATCH(B43,Teams!$A$5:$A$104,0))))</f>
        <v/>
      </c>
      <c r="H43" s="20">
        <f>IF(C43="","",IFERROR(INDEX(Settings!$C$11:$C$25,MATCH(C43&amp;" - "&amp;D43,Settings!$D$11:$D$25,0)),0))</f>
        <v/>
      </c>
      <c r="I43" s="21">
        <f>IF(C43="","",H43*IF(E43="",1,E43/Settings!$B$4))</f>
        <v/>
      </c>
      <c r="J43" s="21">
        <f>IF(OR(C43="",C43="Claude Code"),0,IF(IFERROR(INDEX(Settings!$C$29:$C$31,MATCH(C43,Settings!$A$29:$A$31,0)),"")="",N(F43),IF(SUMIFS($F$5:$F$304,$C$5:$C$304,C43&amp;"")=0,0,N(F43)/SUMIFS($F$5:$F$304,$C$5:$C$304,C43&amp;"")*INDEX(Settings!$C$29:$C$31,MATCH(C43,Settings!$A$29:$A$31,0)))))</f>
        <v/>
      </c>
      <c r="K43" s="21">
        <f>IF(C43="","",I43+J43)</f>
        <v/>
      </c>
      <c r="L43" s="14">
        <f>IF(C43="","",IF(H43=0,IF(ISNUMBER(MATCH(C43&amp;" - "&amp;D43,Settings!$D$11:$D$25,0)),"OK","Tier not in Settings"),IF(G43="Unmapped","Team key not in Teams","OK")))</f>
        <v/>
      </c>
    </row>
    <row r="44">
      <c r="A44" s="12" t="n"/>
      <c r="B44" s="12" t="n"/>
      <c r="C44" s="12" t="n"/>
      <c r="D44" s="12" t="n"/>
      <c r="E44" s="18" t="n"/>
      <c r="F44" s="13" t="n"/>
      <c r="G44" s="19">
        <f>IF(C44="","",IF(IFERROR(INDEX(Teams!$C$5:$C$104,MATCH(B44,Teams!$A$5:$A$104,0))&amp;"","")="","Unmapped",INDEX(Teams!$C$5:$C$104,MATCH(B44,Teams!$A$5:$A$104,0))))</f>
        <v/>
      </c>
      <c r="H44" s="20">
        <f>IF(C44="","",IFERROR(INDEX(Settings!$C$11:$C$25,MATCH(C44&amp;" - "&amp;D44,Settings!$D$11:$D$25,0)),0))</f>
        <v/>
      </c>
      <c r="I44" s="21">
        <f>IF(C44="","",H44*IF(E44="",1,E44/Settings!$B$4))</f>
        <v/>
      </c>
      <c r="J44" s="21">
        <f>IF(OR(C44="",C44="Claude Code"),0,IF(IFERROR(INDEX(Settings!$C$29:$C$31,MATCH(C44,Settings!$A$29:$A$31,0)),"")="",N(F44),IF(SUMIFS($F$5:$F$304,$C$5:$C$304,C44&amp;"")=0,0,N(F44)/SUMIFS($F$5:$F$304,$C$5:$C$304,C44&amp;"")*INDEX(Settings!$C$29:$C$31,MATCH(C44,Settings!$A$29:$A$31,0)))))</f>
        <v/>
      </c>
      <c r="K44" s="21">
        <f>IF(C44="","",I44+J44)</f>
        <v/>
      </c>
      <c r="L44" s="14">
        <f>IF(C44="","",IF(H44=0,IF(ISNUMBER(MATCH(C44&amp;" - "&amp;D44,Settings!$D$11:$D$25,0)),"OK","Tier not in Settings"),IF(G44="Unmapped","Team key not in Teams","OK")))</f>
        <v/>
      </c>
    </row>
    <row r="45">
      <c r="A45" s="12" t="n"/>
      <c r="B45" s="12" t="n"/>
      <c r="C45" s="12" t="n"/>
      <c r="D45" s="12" t="n"/>
      <c r="E45" s="18" t="n"/>
      <c r="F45" s="13" t="n"/>
      <c r="G45" s="19">
        <f>IF(C45="","",IF(IFERROR(INDEX(Teams!$C$5:$C$104,MATCH(B45,Teams!$A$5:$A$104,0))&amp;"","")="","Unmapped",INDEX(Teams!$C$5:$C$104,MATCH(B45,Teams!$A$5:$A$104,0))))</f>
        <v/>
      </c>
      <c r="H45" s="20">
        <f>IF(C45="","",IFERROR(INDEX(Settings!$C$11:$C$25,MATCH(C45&amp;" - "&amp;D45,Settings!$D$11:$D$25,0)),0))</f>
        <v/>
      </c>
      <c r="I45" s="21">
        <f>IF(C45="","",H45*IF(E45="",1,E45/Settings!$B$4))</f>
        <v/>
      </c>
      <c r="J45" s="21">
        <f>IF(OR(C45="",C45="Claude Code"),0,IF(IFERROR(INDEX(Settings!$C$29:$C$31,MATCH(C45,Settings!$A$29:$A$31,0)),"")="",N(F45),IF(SUMIFS($F$5:$F$304,$C$5:$C$304,C45&amp;"")=0,0,N(F45)/SUMIFS($F$5:$F$304,$C$5:$C$304,C45&amp;"")*INDEX(Settings!$C$29:$C$31,MATCH(C45,Settings!$A$29:$A$31,0)))))</f>
        <v/>
      </c>
      <c r="K45" s="21">
        <f>IF(C45="","",I45+J45)</f>
        <v/>
      </c>
      <c r="L45" s="14">
        <f>IF(C45="","",IF(H45=0,IF(ISNUMBER(MATCH(C45&amp;" - "&amp;D45,Settings!$D$11:$D$25,0)),"OK","Tier not in Settings"),IF(G45="Unmapped","Team key not in Teams","OK")))</f>
        <v/>
      </c>
    </row>
    <row r="46">
      <c r="A46" s="12" t="n"/>
      <c r="B46" s="12" t="n"/>
      <c r="C46" s="12" t="n"/>
      <c r="D46" s="12" t="n"/>
      <c r="E46" s="18" t="n"/>
      <c r="F46" s="13" t="n"/>
      <c r="G46" s="19">
        <f>IF(C46="","",IF(IFERROR(INDEX(Teams!$C$5:$C$104,MATCH(B46,Teams!$A$5:$A$104,0))&amp;"","")="","Unmapped",INDEX(Teams!$C$5:$C$104,MATCH(B46,Teams!$A$5:$A$104,0))))</f>
        <v/>
      </c>
      <c r="H46" s="20">
        <f>IF(C46="","",IFERROR(INDEX(Settings!$C$11:$C$25,MATCH(C46&amp;" - "&amp;D46,Settings!$D$11:$D$25,0)),0))</f>
        <v/>
      </c>
      <c r="I46" s="21">
        <f>IF(C46="","",H46*IF(E46="",1,E46/Settings!$B$4))</f>
        <v/>
      </c>
      <c r="J46" s="21">
        <f>IF(OR(C46="",C46="Claude Code"),0,IF(IFERROR(INDEX(Settings!$C$29:$C$31,MATCH(C46,Settings!$A$29:$A$31,0)),"")="",N(F46),IF(SUMIFS($F$5:$F$304,$C$5:$C$304,C46&amp;"")=0,0,N(F46)/SUMIFS($F$5:$F$304,$C$5:$C$304,C46&amp;"")*INDEX(Settings!$C$29:$C$31,MATCH(C46,Settings!$A$29:$A$31,0)))))</f>
        <v/>
      </c>
      <c r="K46" s="21">
        <f>IF(C46="","",I46+J46)</f>
        <v/>
      </c>
      <c r="L46" s="14">
        <f>IF(C46="","",IF(H46=0,IF(ISNUMBER(MATCH(C46&amp;" - "&amp;D46,Settings!$D$11:$D$25,0)),"OK","Tier not in Settings"),IF(G46="Unmapped","Team key not in Teams","OK")))</f>
        <v/>
      </c>
    </row>
    <row r="47">
      <c r="A47" s="12" t="n"/>
      <c r="B47" s="12" t="n"/>
      <c r="C47" s="12" t="n"/>
      <c r="D47" s="12" t="n"/>
      <c r="E47" s="18" t="n"/>
      <c r="F47" s="13" t="n"/>
      <c r="G47" s="19">
        <f>IF(C47="","",IF(IFERROR(INDEX(Teams!$C$5:$C$104,MATCH(B47,Teams!$A$5:$A$104,0))&amp;"","")="","Unmapped",INDEX(Teams!$C$5:$C$104,MATCH(B47,Teams!$A$5:$A$104,0))))</f>
        <v/>
      </c>
      <c r="H47" s="20">
        <f>IF(C47="","",IFERROR(INDEX(Settings!$C$11:$C$25,MATCH(C47&amp;" - "&amp;D47,Settings!$D$11:$D$25,0)),0))</f>
        <v/>
      </c>
      <c r="I47" s="21">
        <f>IF(C47="","",H47*IF(E47="",1,E47/Settings!$B$4))</f>
        <v/>
      </c>
      <c r="J47" s="21">
        <f>IF(OR(C47="",C47="Claude Code"),0,IF(IFERROR(INDEX(Settings!$C$29:$C$31,MATCH(C47,Settings!$A$29:$A$31,0)),"")="",N(F47),IF(SUMIFS($F$5:$F$304,$C$5:$C$304,C47&amp;"")=0,0,N(F47)/SUMIFS($F$5:$F$304,$C$5:$C$304,C47&amp;"")*INDEX(Settings!$C$29:$C$31,MATCH(C47,Settings!$A$29:$A$31,0)))))</f>
        <v/>
      </c>
      <c r="K47" s="21">
        <f>IF(C47="","",I47+J47)</f>
        <v/>
      </c>
      <c r="L47" s="14">
        <f>IF(C47="","",IF(H47=0,IF(ISNUMBER(MATCH(C47&amp;" - "&amp;D47,Settings!$D$11:$D$25,0)),"OK","Tier not in Settings"),IF(G47="Unmapped","Team key not in Teams","OK")))</f>
        <v/>
      </c>
    </row>
    <row r="48">
      <c r="A48" s="12" t="n"/>
      <c r="B48" s="12" t="n"/>
      <c r="C48" s="12" t="n"/>
      <c r="D48" s="12" t="n"/>
      <c r="E48" s="18" t="n"/>
      <c r="F48" s="13" t="n"/>
      <c r="G48" s="19">
        <f>IF(C48="","",IF(IFERROR(INDEX(Teams!$C$5:$C$104,MATCH(B48,Teams!$A$5:$A$104,0))&amp;"","")="","Unmapped",INDEX(Teams!$C$5:$C$104,MATCH(B48,Teams!$A$5:$A$104,0))))</f>
        <v/>
      </c>
      <c r="H48" s="20">
        <f>IF(C48="","",IFERROR(INDEX(Settings!$C$11:$C$25,MATCH(C48&amp;" - "&amp;D48,Settings!$D$11:$D$25,0)),0))</f>
        <v/>
      </c>
      <c r="I48" s="21">
        <f>IF(C48="","",H48*IF(E48="",1,E48/Settings!$B$4))</f>
        <v/>
      </c>
      <c r="J48" s="21">
        <f>IF(OR(C48="",C48="Claude Code"),0,IF(IFERROR(INDEX(Settings!$C$29:$C$31,MATCH(C48,Settings!$A$29:$A$31,0)),"")="",N(F48),IF(SUMIFS($F$5:$F$304,$C$5:$C$304,C48&amp;"")=0,0,N(F48)/SUMIFS($F$5:$F$304,$C$5:$C$304,C48&amp;"")*INDEX(Settings!$C$29:$C$31,MATCH(C48,Settings!$A$29:$A$31,0)))))</f>
        <v/>
      </c>
      <c r="K48" s="21">
        <f>IF(C48="","",I48+J48)</f>
        <v/>
      </c>
      <c r="L48" s="14">
        <f>IF(C48="","",IF(H48=0,IF(ISNUMBER(MATCH(C48&amp;" - "&amp;D48,Settings!$D$11:$D$25,0)),"OK","Tier not in Settings"),IF(G48="Unmapped","Team key not in Teams","OK")))</f>
        <v/>
      </c>
    </row>
    <row r="49">
      <c r="A49" s="12" t="n"/>
      <c r="B49" s="12" t="n"/>
      <c r="C49" s="12" t="n"/>
      <c r="D49" s="12" t="n"/>
      <c r="E49" s="18" t="n"/>
      <c r="F49" s="13" t="n"/>
      <c r="G49" s="19">
        <f>IF(C49="","",IF(IFERROR(INDEX(Teams!$C$5:$C$104,MATCH(B49,Teams!$A$5:$A$104,0))&amp;"","")="","Unmapped",INDEX(Teams!$C$5:$C$104,MATCH(B49,Teams!$A$5:$A$104,0))))</f>
        <v/>
      </c>
      <c r="H49" s="20">
        <f>IF(C49="","",IFERROR(INDEX(Settings!$C$11:$C$25,MATCH(C49&amp;" - "&amp;D49,Settings!$D$11:$D$25,0)),0))</f>
        <v/>
      </c>
      <c r="I49" s="21">
        <f>IF(C49="","",H49*IF(E49="",1,E49/Settings!$B$4))</f>
        <v/>
      </c>
      <c r="J49" s="21">
        <f>IF(OR(C49="",C49="Claude Code"),0,IF(IFERROR(INDEX(Settings!$C$29:$C$31,MATCH(C49,Settings!$A$29:$A$31,0)),"")="",N(F49),IF(SUMIFS($F$5:$F$304,$C$5:$C$304,C49&amp;"")=0,0,N(F49)/SUMIFS($F$5:$F$304,$C$5:$C$304,C49&amp;"")*INDEX(Settings!$C$29:$C$31,MATCH(C49,Settings!$A$29:$A$31,0)))))</f>
        <v/>
      </c>
      <c r="K49" s="21">
        <f>IF(C49="","",I49+J49)</f>
        <v/>
      </c>
      <c r="L49" s="14">
        <f>IF(C49="","",IF(H49=0,IF(ISNUMBER(MATCH(C49&amp;" - "&amp;D49,Settings!$D$11:$D$25,0)),"OK","Tier not in Settings"),IF(G49="Unmapped","Team key not in Teams","OK")))</f>
        <v/>
      </c>
    </row>
    <row r="50">
      <c r="A50" s="12" t="n"/>
      <c r="B50" s="12" t="n"/>
      <c r="C50" s="12" t="n"/>
      <c r="D50" s="12" t="n"/>
      <c r="E50" s="18" t="n"/>
      <c r="F50" s="13" t="n"/>
      <c r="G50" s="19">
        <f>IF(C50="","",IF(IFERROR(INDEX(Teams!$C$5:$C$104,MATCH(B50,Teams!$A$5:$A$104,0))&amp;"","")="","Unmapped",INDEX(Teams!$C$5:$C$104,MATCH(B50,Teams!$A$5:$A$104,0))))</f>
        <v/>
      </c>
      <c r="H50" s="20">
        <f>IF(C50="","",IFERROR(INDEX(Settings!$C$11:$C$25,MATCH(C50&amp;" - "&amp;D50,Settings!$D$11:$D$25,0)),0))</f>
        <v/>
      </c>
      <c r="I50" s="21">
        <f>IF(C50="","",H50*IF(E50="",1,E50/Settings!$B$4))</f>
        <v/>
      </c>
      <c r="J50" s="21">
        <f>IF(OR(C50="",C50="Claude Code"),0,IF(IFERROR(INDEX(Settings!$C$29:$C$31,MATCH(C50,Settings!$A$29:$A$31,0)),"")="",N(F50),IF(SUMIFS($F$5:$F$304,$C$5:$C$304,C50&amp;"")=0,0,N(F50)/SUMIFS($F$5:$F$304,$C$5:$C$304,C50&amp;"")*INDEX(Settings!$C$29:$C$31,MATCH(C50,Settings!$A$29:$A$31,0)))))</f>
        <v/>
      </c>
      <c r="K50" s="21">
        <f>IF(C50="","",I50+J50)</f>
        <v/>
      </c>
      <c r="L50" s="14">
        <f>IF(C50="","",IF(H50=0,IF(ISNUMBER(MATCH(C50&amp;" - "&amp;D50,Settings!$D$11:$D$25,0)),"OK","Tier not in Settings"),IF(G50="Unmapped","Team key not in Teams","OK")))</f>
        <v/>
      </c>
    </row>
    <row r="51">
      <c r="A51" s="12" t="n"/>
      <c r="B51" s="12" t="n"/>
      <c r="C51" s="12" t="n"/>
      <c r="D51" s="12" t="n"/>
      <c r="E51" s="18" t="n"/>
      <c r="F51" s="13" t="n"/>
      <c r="G51" s="19">
        <f>IF(C51="","",IF(IFERROR(INDEX(Teams!$C$5:$C$104,MATCH(B51,Teams!$A$5:$A$104,0))&amp;"","")="","Unmapped",INDEX(Teams!$C$5:$C$104,MATCH(B51,Teams!$A$5:$A$104,0))))</f>
        <v/>
      </c>
      <c r="H51" s="20">
        <f>IF(C51="","",IFERROR(INDEX(Settings!$C$11:$C$25,MATCH(C51&amp;" - "&amp;D51,Settings!$D$11:$D$25,0)),0))</f>
        <v/>
      </c>
      <c r="I51" s="21">
        <f>IF(C51="","",H51*IF(E51="",1,E51/Settings!$B$4))</f>
        <v/>
      </c>
      <c r="J51" s="21">
        <f>IF(OR(C51="",C51="Claude Code"),0,IF(IFERROR(INDEX(Settings!$C$29:$C$31,MATCH(C51,Settings!$A$29:$A$31,0)),"")="",N(F51),IF(SUMIFS($F$5:$F$304,$C$5:$C$304,C51&amp;"")=0,0,N(F51)/SUMIFS($F$5:$F$304,$C$5:$C$304,C51&amp;"")*INDEX(Settings!$C$29:$C$31,MATCH(C51,Settings!$A$29:$A$31,0)))))</f>
        <v/>
      </c>
      <c r="K51" s="21">
        <f>IF(C51="","",I51+J51)</f>
        <v/>
      </c>
      <c r="L51" s="14">
        <f>IF(C51="","",IF(H51=0,IF(ISNUMBER(MATCH(C51&amp;" - "&amp;D51,Settings!$D$11:$D$25,0)),"OK","Tier not in Settings"),IF(G51="Unmapped","Team key not in Teams","OK")))</f>
        <v/>
      </c>
    </row>
    <row r="52">
      <c r="A52" s="12" t="n"/>
      <c r="B52" s="12" t="n"/>
      <c r="C52" s="12" t="n"/>
      <c r="D52" s="12" t="n"/>
      <c r="E52" s="18" t="n"/>
      <c r="F52" s="13" t="n"/>
      <c r="G52" s="19">
        <f>IF(C52="","",IF(IFERROR(INDEX(Teams!$C$5:$C$104,MATCH(B52,Teams!$A$5:$A$104,0))&amp;"","")="","Unmapped",INDEX(Teams!$C$5:$C$104,MATCH(B52,Teams!$A$5:$A$104,0))))</f>
        <v/>
      </c>
      <c r="H52" s="20">
        <f>IF(C52="","",IFERROR(INDEX(Settings!$C$11:$C$25,MATCH(C52&amp;" - "&amp;D52,Settings!$D$11:$D$25,0)),0))</f>
        <v/>
      </c>
      <c r="I52" s="21">
        <f>IF(C52="","",H52*IF(E52="",1,E52/Settings!$B$4))</f>
        <v/>
      </c>
      <c r="J52" s="21">
        <f>IF(OR(C52="",C52="Claude Code"),0,IF(IFERROR(INDEX(Settings!$C$29:$C$31,MATCH(C52,Settings!$A$29:$A$31,0)),"")="",N(F52),IF(SUMIFS($F$5:$F$304,$C$5:$C$304,C52&amp;"")=0,0,N(F52)/SUMIFS($F$5:$F$304,$C$5:$C$304,C52&amp;"")*INDEX(Settings!$C$29:$C$31,MATCH(C52,Settings!$A$29:$A$31,0)))))</f>
        <v/>
      </c>
      <c r="K52" s="21">
        <f>IF(C52="","",I52+J52)</f>
        <v/>
      </c>
      <c r="L52" s="14">
        <f>IF(C52="","",IF(H52=0,IF(ISNUMBER(MATCH(C52&amp;" - "&amp;D52,Settings!$D$11:$D$25,0)),"OK","Tier not in Settings"),IF(G52="Unmapped","Team key not in Teams","OK")))</f>
        <v/>
      </c>
    </row>
    <row r="53">
      <c r="A53" s="12" t="n"/>
      <c r="B53" s="12" t="n"/>
      <c r="C53" s="12" t="n"/>
      <c r="D53" s="12" t="n"/>
      <c r="E53" s="18" t="n"/>
      <c r="F53" s="13" t="n"/>
      <c r="G53" s="19">
        <f>IF(C53="","",IF(IFERROR(INDEX(Teams!$C$5:$C$104,MATCH(B53,Teams!$A$5:$A$104,0))&amp;"","")="","Unmapped",INDEX(Teams!$C$5:$C$104,MATCH(B53,Teams!$A$5:$A$104,0))))</f>
        <v/>
      </c>
      <c r="H53" s="20">
        <f>IF(C53="","",IFERROR(INDEX(Settings!$C$11:$C$25,MATCH(C53&amp;" - "&amp;D53,Settings!$D$11:$D$25,0)),0))</f>
        <v/>
      </c>
      <c r="I53" s="21">
        <f>IF(C53="","",H53*IF(E53="",1,E53/Settings!$B$4))</f>
        <v/>
      </c>
      <c r="J53" s="21">
        <f>IF(OR(C53="",C53="Claude Code"),0,IF(IFERROR(INDEX(Settings!$C$29:$C$31,MATCH(C53,Settings!$A$29:$A$31,0)),"")="",N(F53),IF(SUMIFS($F$5:$F$304,$C$5:$C$304,C53&amp;"")=0,0,N(F53)/SUMIFS($F$5:$F$304,$C$5:$C$304,C53&amp;"")*INDEX(Settings!$C$29:$C$31,MATCH(C53,Settings!$A$29:$A$31,0)))))</f>
        <v/>
      </c>
      <c r="K53" s="21">
        <f>IF(C53="","",I53+J53)</f>
        <v/>
      </c>
      <c r="L53" s="14">
        <f>IF(C53="","",IF(H53=0,IF(ISNUMBER(MATCH(C53&amp;" - "&amp;D53,Settings!$D$11:$D$25,0)),"OK","Tier not in Settings"),IF(G53="Unmapped","Team key not in Teams","OK")))</f>
        <v/>
      </c>
    </row>
    <row r="54">
      <c r="A54" s="12" t="n"/>
      <c r="B54" s="12" t="n"/>
      <c r="C54" s="12" t="n"/>
      <c r="D54" s="12" t="n"/>
      <c r="E54" s="18" t="n"/>
      <c r="F54" s="13" t="n"/>
      <c r="G54" s="19">
        <f>IF(C54="","",IF(IFERROR(INDEX(Teams!$C$5:$C$104,MATCH(B54,Teams!$A$5:$A$104,0))&amp;"","")="","Unmapped",INDEX(Teams!$C$5:$C$104,MATCH(B54,Teams!$A$5:$A$104,0))))</f>
        <v/>
      </c>
      <c r="H54" s="20">
        <f>IF(C54="","",IFERROR(INDEX(Settings!$C$11:$C$25,MATCH(C54&amp;" - "&amp;D54,Settings!$D$11:$D$25,0)),0))</f>
        <v/>
      </c>
      <c r="I54" s="21">
        <f>IF(C54="","",H54*IF(E54="",1,E54/Settings!$B$4))</f>
        <v/>
      </c>
      <c r="J54" s="21">
        <f>IF(OR(C54="",C54="Claude Code"),0,IF(IFERROR(INDEX(Settings!$C$29:$C$31,MATCH(C54,Settings!$A$29:$A$31,0)),"")="",N(F54),IF(SUMIFS($F$5:$F$304,$C$5:$C$304,C54&amp;"")=0,0,N(F54)/SUMIFS($F$5:$F$304,$C$5:$C$304,C54&amp;"")*INDEX(Settings!$C$29:$C$31,MATCH(C54,Settings!$A$29:$A$31,0)))))</f>
        <v/>
      </c>
      <c r="K54" s="21">
        <f>IF(C54="","",I54+J54)</f>
        <v/>
      </c>
      <c r="L54" s="14">
        <f>IF(C54="","",IF(H54=0,IF(ISNUMBER(MATCH(C54&amp;" - "&amp;D54,Settings!$D$11:$D$25,0)),"OK","Tier not in Settings"),IF(G54="Unmapped","Team key not in Teams","OK")))</f>
        <v/>
      </c>
    </row>
    <row r="55">
      <c r="A55" s="12" t="n"/>
      <c r="B55" s="12" t="n"/>
      <c r="C55" s="12" t="n"/>
      <c r="D55" s="12" t="n"/>
      <c r="E55" s="18" t="n"/>
      <c r="F55" s="13" t="n"/>
      <c r="G55" s="19">
        <f>IF(C55="","",IF(IFERROR(INDEX(Teams!$C$5:$C$104,MATCH(B55,Teams!$A$5:$A$104,0))&amp;"","")="","Unmapped",INDEX(Teams!$C$5:$C$104,MATCH(B55,Teams!$A$5:$A$104,0))))</f>
        <v/>
      </c>
      <c r="H55" s="20">
        <f>IF(C55="","",IFERROR(INDEX(Settings!$C$11:$C$25,MATCH(C55&amp;" - "&amp;D55,Settings!$D$11:$D$25,0)),0))</f>
        <v/>
      </c>
      <c r="I55" s="21">
        <f>IF(C55="","",H55*IF(E55="",1,E55/Settings!$B$4))</f>
        <v/>
      </c>
      <c r="J55" s="21">
        <f>IF(OR(C55="",C55="Claude Code"),0,IF(IFERROR(INDEX(Settings!$C$29:$C$31,MATCH(C55,Settings!$A$29:$A$31,0)),"")="",N(F55),IF(SUMIFS($F$5:$F$304,$C$5:$C$304,C55&amp;"")=0,0,N(F55)/SUMIFS($F$5:$F$304,$C$5:$C$304,C55&amp;"")*INDEX(Settings!$C$29:$C$31,MATCH(C55,Settings!$A$29:$A$31,0)))))</f>
        <v/>
      </c>
      <c r="K55" s="21">
        <f>IF(C55="","",I55+J55)</f>
        <v/>
      </c>
      <c r="L55" s="14">
        <f>IF(C55="","",IF(H55=0,IF(ISNUMBER(MATCH(C55&amp;" - "&amp;D55,Settings!$D$11:$D$25,0)),"OK","Tier not in Settings"),IF(G55="Unmapped","Team key not in Teams","OK")))</f>
        <v/>
      </c>
    </row>
    <row r="56">
      <c r="A56" s="12" t="n"/>
      <c r="B56" s="12" t="n"/>
      <c r="C56" s="12" t="n"/>
      <c r="D56" s="12" t="n"/>
      <c r="E56" s="18" t="n"/>
      <c r="F56" s="13" t="n"/>
      <c r="G56" s="19">
        <f>IF(C56="","",IF(IFERROR(INDEX(Teams!$C$5:$C$104,MATCH(B56,Teams!$A$5:$A$104,0))&amp;"","")="","Unmapped",INDEX(Teams!$C$5:$C$104,MATCH(B56,Teams!$A$5:$A$104,0))))</f>
        <v/>
      </c>
      <c r="H56" s="20">
        <f>IF(C56="","",IFERROR(INDEX(Settings!$C$11:$C$25,MATCH(C56&amp;" - "&amp;D56,Settings!$D$11:$D$25,0)),0))</f>
        <v/>
      </c>
      <c r="I56" s="21">
        <f>IF(C56="","",H56*IF(E56="",1,E56/Settings!$B$4))</f>
        <v/>
      </c>
      <c r="J56" s="21">
        <f>IF(OR(C56="",C56="Claude Code"),0,IF(IFERROR(INDEX(Settings!$C$29:$C$31,MATCH(C56,Settings!$A$29:$A$31,0)),"")="",N(F56),IF(SUMIFS($F$5:$F$304,$C$5:$C$304,C56&amp;"")=0,0,N(F56)/SUMIFS($F$5:$F$304,$C$5:$C$304,C56&amp;"")*INDEX(Settings!$C$29:$C$31,MATCH(C56,Settings!$A$29:$A$31,0)))))</f>
        <v/>
      </c>
      <c r="K56" s="21">
        <f>IF(C56="","",I56+J56)</f>
        <v/>
      </c>
      <c r="L56" s="14">
        <f>IF(C56="","",IF(H56=0,IF(ISNUMBER(MATCH(C56&amp;" - "&amp;D56,Settings!$D$11:$D$25,0)),"OK","Tier not in Settings"),IF(G56="Unmapped","Team key not in Teams","OK")))</f>
        <v/>
      </c>
    </row>
    <row r="57">
      <c r="A57" s="12" t="n"/>
      <c r="B57" s="12" t="n"/>
      <c r="C57" s="12" t="n"/>
      <c r="D57" s="12" t="n"/>
      <c r="E57" s="18" t="n"/>
      <c r="F57" s="13" t="n"/>
      <c r="G57" s="19">
        <f>IF(C57="","",IF(IFERROR(INDEX(Teams!$C$5:$C$104,MATCH(B57,Teams!$A$5:$A$104,0))&amp;"","")="","Unmapped",INDEX(Teams!$C$5:$C$104,MATCH(B57,Teams!$A$5:$A$104,0))))</f>
        <v/>
      </c>
      <c r="H57" s="20">
        <f>IF(C57="","",IFERROR(INDEX(Settings!$C$11:$C$25,MATCH(C57&amp;" - "&amp;D57,Settings!$D$11:$D$25,0)),0))</f>
        <v/>
      </c>
      <c r="I57" s="21">
        <f>IF(C57="","",H57*IF(E57="",1,E57/Settings!$B$4))</f>
        <v/>
      </c>
      <c r="J57" s="21">
        <f>IF(OR(C57="",C57="Claude Code"),0,IF(IFERROR(INDEX(Settings!$C$29:$C$31,MATCH(C57,Settings!$A$29:$A$31,0)),"")="",N(F57),IF(SUMIFS($F$5:$F$304,$C$5:$C$304,C57&amp;"")=0,0,N(F57)/SUMIFS($F$5:$F$304,$C$5:$C$304,C57&amp;"")*INDEX(Settings!$C$29:$C$31,MATCH(C57,Settings!$A$29:$A$31,0)))))</f>
        <v/>
      </c>
      <c r="K57" s="21">
        <f>IF(C57="","",I57+J57)</f>
        <v/>
      </c>
      <c r="L57" s="14">
        <f>IF(C57="","",IF(H57=0,IF(ISNUMBER(MATCH(C57&amp;" - "&amp;D57,Settings!$D$11:$D$25,0)),"OK","Tier not in Settings"),IF(G57="Unmapped","Team key not in Teams","OK")))</f>
        <v/>
      </c>
    </row>
    <row r="58">
      <c r="A58" s="12" t="n"/>
      <c r="B58" s="12" t="n"/>
      <c r="C58" s="12" t="n"/>
      <c r="D58" s="12" t="n"/>
      <c r="E58" s="18" t="n"/>
      <c r="F58" s="13" t="n"/>
      <c r="G58" s="19">
        <f>IF(C58="","",IF(IFERROR(INDEX(Teams!$C$5:$C$104,MATCH(B58,Teams!$A$5:$A$104,0))&amp;"","")="","Unmapped",INDEX(Teams!$C$5:$C$104,MATCH(B58,Teams!$A$5:$A$104,0))))</f>
        <v/>
      </c>
      <c r="H58" s="20">
        <f>IF(C58="","",IFERROR(INDEX(Settings!$C$11:$C$25,MATCH(C58&amp;" - "&amp;D58,Settings!$D$11:$D$25,0)),0))</f>
        <v/>
      </c>
      <c r="I58" s="21">
        <f>IF(C58="","",H58*IF(E58="",1,E58/Settings!$B$4))</f>
        <v/>
      </c>
      <c r="J58" s="21">
        <f>IF(OR(C58="",C58="Claude Code"),0,IF(IFERROR(INDEX(Settings!$C$29:$C$31,MATCH(C58,Settings!$A$29:$A$31,0)),"")="",N(F58),IF(SUMIFS($F$5:$F$304,$C$5:$C$304,C58&amp;"")=0,0,N(F58)/SUMIFS($F$5:$F$304,$C$5:$C$304,C58&amp;"")*INDEX(Settings!$C$29:$C$31,MATCH(C58,Settings!$A$29:$A$31,0)))))</f>
        <v/>
      </c>
      <c r="K58" s="21">
        <f>IF(C58="","",I58+J58)</f>
        <v/>
      </c>
      <c r="L58" s="14">
        <f>IF(C58="","",IF(H58=0,IF(ISNUMBER(MATCH(C58&amp;" - "&amp;D58,Settings!$D$11:$D$25,0)),"OK","Tier not in Settings"),IF(G58="Unmapped","Team key not in Teams","OK")))</f>
        <v/>
      </c>
    </row>
    <row r="59">
      <c r="A59" s="12" t="n"/>
      <c r="B59" s="12" t="n"/>
      <c r="C59" s="12" t="n"/>
      <c r="D59" s="12" t="n"/>
      <c r="E59" s="18" t="n"/>
      <c r="F59" s="13" t="n"/>
      <c r="G59" s="19">
        <f>IF(C59="","",IF(IFERROR(INDEX(Teams!$C$5:$C$104,MATCH(B59,Teams!$A$5:$A$104,0))&amp;"","")="","Unmapped",INDEX(Teams!$C$5:$C$104,MATCH(B59,Teams!$A$5:$A$104,0))))</f>
        <v/>
      </c>
      <c r="H59" s="20">
        <f>IF(C59="","",IFERROR(INDEX(Settings!$C$11:$C$25,MATCH(C59&amp;" - "&amp;D59,Settings!$D$11:$D$25,0)),0))</f>
        <v/>
      </c>
      <c r="I59" s="21">
        <f>IF(C59="","",H59*IF(E59="",1,E59/Settings!$B$4))</f>
        <v/>
      </c>
      <c r="J59" s="21">
        <f>IF(OR(C59="",C59="Claude Code"),0,IF(IFERROR(INDEX(Settings!$C$29:$C$31,MATCH(C59,Settings!$A$29:$A$31,0)),"")="",N(F59),IF(SUMIFS($F$5:$F$304,$C$5:$C$304,C59&amp;"")=0,0,N(F59)/SUMIFS($F$5:$F$304,$C$5:$C$304,C59&amp;"")*INDEX(Settings!$C$29:$C$31,MATCH(C59,Settings!$A$29:$A$31,0)))))</f>
        <v/>
      </c>
      <c r="K59" s="21">
        <f>IF(C59="","",I59+J59)</f>
        <v/>
      </c>
      <c r="L59" s="14">
        <f>IF(C59="","",IF(H59=0,IF(ISNUMBER(MATCH(C59&amp;" - "&amp;D59,Settings!$D$11:$D$25,0)),"OK","Tier not in Settings"),IF(G59="Unmapped","Team key not in Teams","OK")))</f>
        <v/>
      </c>
    </row>
    <row r="60">
      <c r="A60" s="12" t="n"/>
      <c r="B60" s="12" t="n"/>
      <c r="C60" s="12" t="n"/>
      <c r="D60" s="12" t="n"/>
      <c r="E60" s="18" t="n"/>
      <c r="F60" s="13" t="n"/>
      <c r="G60" s="19">
        <f>IF(C60="","",IF(IFERROR(INDEX(Teams!$C$5:$C$104,MATCH(B60,Teams!$A$5:$A$104,0))&amp;"","")="","Unmapped",INDEX(Teams!$C$5:$C$104,MATCH(B60,Teams!$A$5:$A$104,0))))</f>
        <v/>
      </c>
      <c r="H60" s="20">
        <f>IF(C60="","",IFERROR(INDEX(Settings!$C$11:$C$25,MATCH(C60&amp;" - "&amp;D60,Settings!$D$11:$D$25,0)),0))</f>
        <v/>
      </c>
      <c r="I60" s="21">
        <f>IF(C60="","",H60*IF(E60="",1,E60/Settings!$B$4))</f>
        <v/>
      </c>
      <c r="J60" s="21">
        <f>IF(OR(C60="",C60="Claude Code"),0,IF(IFERROR(INDEX(Settings!$C$29:$C$31,MATCH(C60,Settings!$A$29:$A$31,0)),"")="",N(F60),IF(SUMIFS($F$5:$F$304,$C$5:$C$304,C60&amp;"")=0,0,N(F60)/SUMIFS($F$5:$F$304,$C$5:$C$304,C60&amp;"")*INDEX(Settings!$C$29:$C$31,MATCH(C60,Settings!$A$29:$A$31,0)))))</f>
        <v/>
      </c>
      <c r="K60" s="21">
        <f>IF(C60="","",I60+J60)</f>
        <v/>
      </c>
      <c r="L60" s="14">
        <f>IF(C60="","",IF(H60=0,IF(ISNUMBER(MATCH(C60&amp;" - "&amp;D60,Settings!$D$11:$D$25,0)),"OK","Tier not in Settings"),IF(G60="Unmapped","Team key not in Teams","OK")))</f>
        <v/>
      </c>
    </row>
    <row r="61">
      <c r="A61" s="12" t="n"/>
      <c r="B61" s="12" t="n"/>
      <c r="C61" s="12" t="n"/>
      <c r="D61" s="12" t="n"/>
      <c r="E61" s="18" t="n"/>
      <c r="F61" s="13" t="n"/>
      <c r="G61" s="19">
        <f>IF(C61="","",IF(IFERROR(INDEX(Teams!$C$5:$C$104,MATCH(B61,Teams!$A$5:$A$104,0))&amp;"","")="","Unmapped",INDEX(Teams!$C$5:$C$104,MATCH(B61,Teams!$A$5:$A$104,0))))</f>
        <v/>
      </c>
      <c r="H61" s="20">
        <f>IF(C61="","",IFERROR(INDEX(Settings!$C$11:$C$25,MATCH(C61&amp;" - "&amp;D61,Settings!$D$11:$D$25,0)),0))</f>
        <v/>
      </c>
      <c r="I61" s="21">
        <f>IF(C61="","",H61*IF(E61="",1,E61/Settings!$B$4))</f>
        <v/>
      </c>
      <c r="J61" s="21">
        <f>IF(OR(C61="",C61="Claude Code"),0,IF(IFERROR(INDEX(Settings!$C$29:$C$31,MATCH(C61,Settings!$A$29:$A$31,0)),"")="",N(F61),IF(SUMIFS($F$5:$F$304,$C$5:$C$304,C61&amp;"")=0,0,N(F61)/SUMIFS($F$5:$F$304,$C$5:$C$304,C61&amp;"")*INDEX(Settings!$C$29:$C$31,MATCH(C61,Settings!$A$29:$A$31,0)))))</f>
        <v/>
      </c>
      <c r="K61" s="21">
        <f>IF(C61="","",I61+J61)</f>
        <v/>
      </c>
      <c r="L61" s="14">
        <f>IF(C61="","",IF(H61=0,IF(ISNUMBER(MATCH(C61&amp;" - "&amp;D61,Settings!$D$11:$D$25,0)),"OK","Tier not in Settings"),IF(G61="Unmapped","Team key not in Teams","OK")))</f>
        <v/>
      </c>
    </row>
    <row r="62">
      <c r="A62" s="12" t="n"/>
      <c r="B62" s="12" t="n"/>
      <c r="C62" s="12" t="n"/>
      <c r="D62" s="12" t="n"/>
      <c r="E62" s="18" t="n"/>
      <c r="F62" s="13" t="n"/>
      <c r="G62" s="19">
        <f>IF(C62="","",IF(IFERROR(INDEX(Teams!$C$5:$C$104,MATCH(B62,Teams!$A$5:$A$104,0))&amp;"","")="","Unmapped",INDEX(Teams!$C$5:$C$104,MATCH(B62,Teams!$A$5:$A$104,0))))</f>
        <v/>
      </c>
      <c r="H62" s="20">
        <f>IF(C62="","",IFERROR(INDEX(Settings!$C$11:$C$25,MATCH(C62&amp;" - "&amp;D62,Settings!$D$11:$D$25,0)),0))</f>
        <v/>
      </c>
      <c r="I62" s="21">
        <f>IF(C62="","",H62*IF(E62="",1,E62/Settings!$B$4))</f>
        <v/>
      </c>
      <c r="J62" s="21">
        <f>IF(OR(C62="",C62="Claude Code"),0,IF(IFERROR(INDEX(Settings!$C$29:$C$31,MATCH(C62,Settings!$A$29:$A$31,0)),"")="",N(F62),IF(SUMIFS($F$5:$F$304,$C$5:$C$304,C62&amp;"")=0,0,N(F62)/SUMIFS($F$5:$F$304,$C$5:$C$304,C62&amp;"")*INDEX(Settings!$C$29:$C$31,MATCH(C62,Settings!$A$29:$A$31,0)))))</f>
        <v/>
      </c>
      <c r="K62" s="21">
        <f>IF(C62="","",I62+J62)</f>
        <v/>
      </c>
      <c r="L62" s="14">
        <f>IF(C62="","",IF(H62=0,IF(ISNUMBER(MATCH(C62&amp;" - "&amp;D62,Settings!$D$11:$D$25,0)),"OK","Tier not in Settings"),IF(G62="Unmapped","Team key not in Teams","OK")))</f>
        <v/>
      </c>
    </row>
    <row r="63">
      <c r="A63" s="12" t="n"/>
      <c r="B63" s="12" t="n"/>
      <c r="C63" s="12" t="n"/>
      <c r="D63" s="12" t="n"/>
      <c r="E63" s="18" t="n"/>
      <c r="F63" s="13" t="n"/>
      <c r="G63" s="19">
        <f>IF(C63="","",IF(IFERROR(INDEX(Teams!$C$5:$C$104,MATCH(B63,Teams!$A$5:$A$104,0))&amp;"","")="","Unmapped",INDEX(Teams!$C$5:$C$104,MATCH(B63,Teams!$A$5:$A$104,0))))</f>
        <v/>
      </c>
      <c r="H63" s="20">
        <f>IF(C63="","",IFERROR(INDEX(Settings!$C$11:$C$25,MATCH(C63&amp;" - "&amp;D63,Settings!$D$11:$D$25,0)),0))</f>
        <v/>
      </c>
      <c r="I63" s="21">
        <f>IF(C63="","",H63*IF(E63="",1,E63/Settings!$B$4))</f>
        <v/>
      </c>
      <c r="J63" s="21">
        <f>IF(OR(C63="",C63="Claude Code"),0,IF(IFERROR(INDEX(Settings!$C$29:$C$31,MATCH(C63,Settings!$A$29:$A$31,0)),"")="",N(F63),IF(SUMIFS($F$5:$F$304,$C$5:$C$304,C63&amp;"")=0,0,N(F63)/SUMIFS($F$5:$F$304,$C$5:$C$304,C63&amp;"")*INDEX(Settings!$C$29:$C$31,MATCH(C63,Settings!$A$29:$A$31,0)))))</f>
        <v/>
      </c>
      <c r="K63" s="21">
        <f>IF(C63="","",I63+J63)</f>
        <v/>
      </c>
      <c r="L63" s="14">
        <f>IF(C63="","",IF(H63=0,IF(ISNUMBER(MATCH(C63&amp;" - "&amp;D63,Settings!$D$11:$D$25,0)),"OK","Tier not in Settings"),IF(G63="Unmapped","Team key not in Teams","OK")))</f>
        <v/>
      </c>
    </row>
    <row r="64">
      <c r="A64" s="12" t="n"/>
      <c r="B64" s="12" t="n"/>
      <c r="C64" s="12" t="n"/>
      <c r="D64" s="12" t="n"/>
      <c r="E64" s="18" t="n"/>
      <c r="F64" s="13" t="n"/>
      <c r="G64" s="19">
        <f>IF(C64="","",IF(IFERROR(INDEX(Teams!$C$5:$C$104,MATCH(B64,Teams!$A$5:$A$104,0))&amp;"","")="","Unmapped",INDEX(Teams!$C$5:$C$104,MATCH(B64,Teams!$A$5:$A$104,0))))</f>
        <v/>
      </c>
      <c r="H64" s="20">
        <f>IF(C64="","",IFERROR(INDEX(Settings!$C$11:$C$25,MATCH(C64&amp;" - "&amp;D64,Settings!$D$11:$D$25,0)),0))</f>
        <v/>
      </c>
      <c r="I64" s="21">
        <f>IF(C64="","",H64*IF(E64="",1,E64/Settings!$B$4))</f>
        <v/>
      </c>
      <c r="J64" s="21">
        <f>IF(OR(C64="",C64="Claude Code"),0,IF(IFERROR(INDEX(Settings!$C$29:$C$31,MATCH(C64,Settings!$A$29:$A$31,0)),"")="",N(F64),IF(SUMIFS($F$5:$F$304,$C$5:$C$304,C64&amp;"")=0,0,N(F64)/SUMIFS($F$5:$F$304,$C$5:$C$304,C64&amp;"")*INDEX(Settings!$C$29:$C$31,MATCH(C64,Settings!$A$29:$A$31,0)))))</f>
        <v/>
      </c>
      <c r="K64" s="21">
        <f>IF(C64="","",I64+J64)</f>
        <v/>
      </c>
      <c r="L64" s="14">
        <f>IF(C64="","",IF(H64=0,IF(ISNUMBER(MATCH(C64&amp;" - "&amp;D64,Settings!$D$11:$D$25,0)),"OK","Tier not in Settings"),IF(G64="Unmapped","Team key not in Teams","OK")))</f>
        <v/>
      </c>
    </row>
    <row r="65">
      <c r="A65" s="12" t="n"/>
      <c r="B65" s="12" t="n"/>
      <c r="C65" s="12" t="n"/>
      <c r="D65" s="12" t="n"/>
      <c r="E65" s="18" t="n"/>
      <c r="F65" s="13" t="n"/>
      <c r="G65" s="19">
        <f>IF(C65="","",IF(IFERROR(INDEX(Teams!$C$5:$C$104,MATCH(B65,Teams!$A$5:$A$104,0))&amp;"","")="","Unmapped",INDEX(Teams!$C$5:$C$104,MATCH(B65,Teams!$A$5:$A$104,0))))</f>
        <v/>
      </c>
      <c r="H65" s="20">
        <f>IF(C65="","",IFERROR(INDEX(Settings!$C$11:$C$25,MATCH(C65&amp;" - "&amp;D65,Settings!$D$11:$D$25,0)),0))</f>
        <v/>
      </c>
      <c r="I65" s="21">
        <f>IF(C65="","",H65*IF(E65="",1,E65/Settings!$B$4))</f>
        <v/>
      </c>
      <c r="J65" s="21">
        <f>IF(OR(C65="",C65="Claude Code"),0,IF(IFERROR(INDEX(Settings!$C$29:$C$31,MATCH(C65,Settings!$A$29:$A$31,0)),"")="",N(F65),IF(SUMIFS($F$5:$F$304,$C$5:$C$304,C65&amp;"")=0,0,N(F65)/SUMIFS($F$5:$F$304,$C$5:$C$304,C65&amp;"")*INDEX(Settings!$C$29:$C$31,MATCH(C65,Settings!$A$29:$A$31,0)))))</f>
        <v/>
      </c>
      <c r="K65" s="21">
        <f>IF(C65="","",I65+J65)</f>
        <v/>
      </c>
      <c r="L65" s="14">
        <f>IF(C65="","",IF(H65=0,IF(ISNUMBER(MATCH(C65&amp;" - "&amp;D65,Settings!$D$11:$D$25,0)),"OK","Tier not in Settings"),IF(G65="Unmapped","Team key not in Teams","OK")))</f>
        <v/>
      </c>
    </row>
    <row r="66">
      <c r="A66" s="12" t="n"/>
      <c r="B66" s="12" t="n"/>
      <c r="C66" s="12" t="n"/>
      <c r="D66" s="12" t="n"/>
      <c r="E66" s="18" t="n"/>
      <c r="F66" s="13" t="n"/>
      <c r="G66" s="19">
        <f>IF(C66="","",IF(IFERROR(INDEX(Teams!$C$5:$C$104,MATCH(B66,Teams!$A$5:$A$104,0))&amp;"","")="","Unmapped",INDEX(Teams!$C$5:$C$104,MATCH(B66,Teams!$A$5:$A$104,0))))</f>
        <v/>
      </c>
      <c r="H66" s="20">
        <f>IF(C66="","",IFERROR(INDEX(Settings!$C$11:$C$25,MATCH(C66&amp;" - "&amp;D66,Settings!$D$11:$D$25,0)),0))</f>
        <v/>
      </c>
      <c r="I66" s="21">
        <f>IF(C66="","",H66*IF(E66="",1,E66/Settings!$B$4))</f>
        <v/>
      </c>
      <c r="J66" s="21">
        <f>IF(OR(C66="",C66="Claude Code"),0,IF(IFERROR(INDEX(Settings!$C$29:$C$31,MATCH(C66,Settings!$A$29:$A$31,0)),"")="",N(F66),IF(SUMIFS($F$5:$F$304,$C$5:$C$304,C66&amp;"")=0,0,N(F66)/SUMIFS($F$5:$F$304,$C$5:$C$304,C66&amp;"")*INDEX(Settings!$C$29:$C$31,MATCH(C66,Settings!$A$29:$A$31,0)))))</f>
        <v/>
      </c>
      <c r="K66" s="21">
        <f>IF(C66="","",I66+J66)</f>
        <v/>
      </c>
      <c r="L66" s="14">
        <f>IF(C66="","",IF(H66=0,IF(ISNUMBER(MATCH(C66&amp;" - "&amp;D66,Settings!$D$11:$D$25,0)),"OK","Tier not in Settings"),IF(G66="Unmapped","Team key not in Teams","OK")))</f>
        <v/>
      </c>
    </row>
    <row r="67">
      <c r="A67" s="12" t="n"/>
      <c r="B67" s="12" t="n"/>
      <c r="C67" s="12" t="n"/>
      <c r="D67" s="12" t="n"/>
      <c r="E67" s="18" t="n"/>
      <c r="F67" s="13" t="n"/>
      <c r="G67" s="19">
        <f>IF(C67="","",IF(IFERROR(INDEX(Teams!$C$5:$C$104,MATCH(B67,Teams!$A$5:$A$104,0))&amp;"","")="","Unmapped",INDEX(Teams!$C$5:$C$104,MATCH(B67,Teams!$A$5:$A$104,0))))</f>
        <v/>
      </c>
      <c r="H67" s="20">
        <f>IF(C67="","",IFERROR(INDEX(Settings!$C$11:$C$25,MATCH(C67&amp;" - "&amp;D67,Settings!$D$11:$D$25,0)),0))</f>
        <v/>
      </c>
      <c r="I67" s="21">
        <f>IF(C67="","",H67*IF(E67="",1,E67/Settings!$B$4))</f>
        <v/>
      </c>
      <c r="J67" s="21">
        <f>IF(OR(C67="",C67="Claude Code"),0,IF(IFERROR(INDEX(Settings!$C$29:$C$31,MATCH(C67,Settings!$A$29:$A$31,0)),"")="",N(F67),IF(SUMIFS($F$5:$F$304,$C$5:$C$304,C67&amp;"")=0,0,N(F67)/SUMIFS($F$5:$F$304,$C$5:$C$304,C67&amp;"")*INDEX(Settings!$C$29:$C$31,MATCH(C67,Settings!$A$29:$A$31,0)))))</f>
        <v/>
      </c>
      <c r="K67" s="21">
        <f>IF(C67="","",I67+J67)</f>
        <v/>
      </c>
      <c r="L67" s="14">
        <f>IF(C67="","",IF(H67=0,IF(ISNUMBER(MATCH(C67&amp;" - "&amp;D67,Settings!$D$11:$D$25,0)),"OK","Tier not in Settings"),IF(G67="Unmapped","Team key not in Teams","OK")))</f>
        <v/>
      </c>
    </row>
    <row r="68">
      <c r="A68" s="12" t="n"/>
      <c r="B68" s="12" t="n"/>
      <c r="C68" s="12" t="n"/>
      <c r="D68" s="12" t="n"/>
      <c r="E68" s="18" t="n"/>
      <c r="F68" s="13" t="n"/>
      <c r="G68" s="19">
        <f>IF(C68="","",IF(IFERROR(INDEX(Teams!$C$5:$C$104,MATCH(B68,Teams!$A$5:$A$104,0))&amp;"","")="","Unmapped",INDEX(Teams!$C$5:$C$104,MATCH(B68,Teams!$A$5:$A$104,0))))</f>
        <v/>
      </c>
      <c r="H68" s="20">
        <f>IF(C68="","",IFERROR(INDEX(Settings!$C$11:$C$25,MATCH(C68&amp;" - "&amp;D68,Settings!$D$11:$D$25,0)),0))</f>
        <v/>
      </c>
      <c r="I68" s="21">
        <f>IF(C68="","",H68*IF(E68="",1,E68/Settings!$B$4))</f>
        <v/>
      </c>
      <c r="J68" s="21">
        <f>IF(OR(C68="",C68="Claude Code"),0,IF(IFERROR(INDEX(Settings!$C$29:$C$31,MATCH(C68,Settings!$A$29:$A$31,0)),"")="",N(F68),IF(SUMIFS($F$5:$F$304,$C$5:$C$304,C68&amp;"")=0,0,N(F68)/SUMIFS($F$5:$F$304,$C$5:$C$304,C68&amp;"")*INDEX(Settings!$C$29:$C$31,MATCH(C68,Settings!$A$29:$A$31,0)))))</f>
        <v/>
      </c>
      <c r="K68" s="21">
        <f>IF(C68="","",I68+J68)</f>
        <v/>
      </c>
      <c r="L68" s="14">
        <f>IF(C68="","",IF(H68=0,IF(ISNUMBER(MATCH(C68&amp;" - "&amp;D68,Settings!$D$11:$D$25,0)),"OK","Tier not in Settings"),IF(G68="Unmapped","Team key not in Teams","OK")))</f>
        <v/>
      </c>
    </row>
    <row r="69">
      <c r="A69" s="12" t="n"/>
      <c r="B69" s="12" t="n"/>
      <c r="C69" s="12" t="n"/>
      <c r="D69" s="12" t="n"/>
      <c r="E69" s="18" t="n"/>
      <c r="F69" s="13" t="n"/>
      <c r="G69" s="19">
        <f>IF(C69="","",IF(IFERROR(INDEX(Teams!$C$5:$C$104,MATCH(B69,Teams!$A$5:$A$104,0))&amp;"","")="","Unmapped",INDEX(Teams!$C$5:$C$104,MATCH(B69,Teams!$A$5:$A$104,0))))</f>
        <v/>
      </c>
      <c r="H69" s="20">
        <f>IF(C69="","",IFERROR(INDEX(Settings!$C$11:$C$25,MATCH(C69&amp;" - "&amp;D69,Settings!$D$11:$D$25,0)),0))</f>
        <v/>
      </c>
      <c r="I69" s="21">
        <f>IF(C69="","",H69*IF(E69="",1,E69/Settings!$B$4))</f>
        <v/>
      </c>
      <c r="J69" s="21">
        <f>IF(OR(C69="",C69="Claude Code"),0,IF(IFERROR(INDEX(Settings!$C$29:$C$31,MATCH(C69,Settings!$A$29:$A$31,0)),"")="",N(F69),IF(SUMIFS($F$5:$F$304,$C$5:$C$304,C69&amp;"")=0,0,N(F69)/SUMIFS($F$5:$F$304,$C$5:$C$304,C69&amp;"")*INDEX(Settings!$C$29:$C$31,MATCH(C69,Settings!$A$29:$A$31,0)))))</f>
        <v/>
      </c>
      <c r="K69" s="21">
        <f>IF(C69="","",I69+J69)</f>
        <v/>
      </c>
      <c r="L69" s="14">
        <f>IF(C69="","",IF(H69=0,IF(ISNUMBER(MATCH(C69&amp;" - "&amp;D69,Settings!$D$11:$D$25,0)),"OK","Tier not in Settings"),IF(G69="Unmapped","Team key not in Teams","OK")))</f>
        <v/>
      </c>
    </row>
    <row r="70">
      <c r="A70" s="12" t="n"/>
      <c r="B70" s="12" t="n"/>
      <c r="C70" s="12" t="n"/>
      <c r="D70" s="12" t="n"/>
      <c r="E70" s="18" t="n"/>
      <c r="F70" s="13" t="n"/>
      <c r="G70" s="19">
        <f>IF(C70="","",IF(IFERROR(INDEX(Teams!$C$5:$C$104,MATCH(B70,Teams!$A$5:$A$104,0))&amp;"","")="","Unmapped",INDEX(Teams!$C$5:$C$104,MATCH(B70,Teams!$A$5:$A$104,0))))</f>
        <v/>
      </c>
      <c r="H70" s="20">
        <f>IF(C70="","",IFERROR(INDEX(Settings!$C$11:$C$25,MATCH(C70&amp;" - "&amp;D70,Settings!$D$11:$D$25,0)),0))</f>
        <v/>
      </c>
      <c r="I70" s="21">
        <f>IF(C70="","",H70*IF(E70="",1,E70/Settings!$B$4))</f>
        <v/>
      </c>
      <c r="J70" s="21">
        <f>IF(OR(C70="",C70="Claude Code"),0,IF(IFERROR(INDEX(Settings!$C$29:$C$31,MATCH(C70,Settings!$A$29:$A$31,0)),"")="",N(F70),IF(SUMIFS($F$5:$F$304,$C$5:$C$304,C70&amp;"")=0,0,N(F70)/SUMIFS($F$5:$F$304,$C$5:$C$304,C70&amp;"")*INDEX(Settings!$C$29:$C$31,MATCH(C70,Settings!$A$29:$A$31,0)))))</f>
        <v/>
      </c>
      <c r="K70" s="21">
        <f>IF(C70="","",I70+J70)</f>
        <v/>
      </c>
      <c r="L70" s="14">
        <f>IF(C70="","",IF(H70=0,IF(ISNUMBER(MATCH(C70&amp;" - "&amp;D70,Settings!$D$11:$D$25,0)),"OK","Tier not in Settings"),IF(G70="Unmapped","Team key not in Teams","OK")))</f>
        <v/>
      </c>
    </row>
    <row r="71">
      <c r="A71" s="12" t="n"/>
      <c r="B71" s="12" t="n"/>
      <c r="C71" s="12" t="n"/>
      <c r="D71" s="12" t="n"/>
      <c r="E71" s="18" t="n"/>
      <c r="F71" s="13" t="n"/>
      <c r="G71" s="19">
        <f>IF(C71="","",IF(IFERROR(INDEX(Teams!$C$5:$C$104,MATCH(B71,Teams!$A$5:$A$104,0))&amp;"","")="","Unmapped",INDEX(Teams!$C$5:$C$104,MATCH(B71,Teams!$A$5:$A$104,0))))</f>
        <v/>
      </c>
      <c r="H71" s="20">
        <f>IF(C71="","",IFERROR(INDEX(Settings!$C$11:$C$25,MATCH(C71&amp;" - "&amp;D71,Settings!$D$11:$D$25,0)),0))</f>
        <v/>
      </c>
      <c r="I71" s="21">
        <f>IF(C71="","",H71*IF(E71="",1,E71/Settings!$B$4))</f>
        <v/>
      </c>
      <c r="J71" s="21">
        <f>IF(OR(C71="",C71="Claude Code"),0,IF(IFERROR(INDEX(Settings!$C$29:$C$31,MATCH(C71,Settings!$A$29:$A$31,0)),"")="",N(F71),IF(SUMIFS($F$5:$F$304,$C$5:$C$304,C71&amp;"")=0,0,N(F71)/SUMIFS($F$5:$F$304,$C$5:$C$304,C71&amp;"")*INDEX(Settings!$C$29:$C$31,MATCH(C71,Settings!$A$29:$A$31,0)))))</f>
        <v/>
      </c>
      <c r="K71" s="21">
        <f>IF(C71="","",I71+J71)</f>
        <v/>
      </c>
      <c r="L71" s="14">
        <f>IF(C71="","",IF(H71=0,IF(ISNUMBER(MATCH(C71&amp;" - "&amp;D71,Settings!$D$11:$D$25,0)),"OK","Tier not in Settings"),IF(G71="Unmapped","Team key not in Teams","OK")))</f>
        <v/>
      </c>
    </row>
    <row r="72">
      <c r="A72" s="12" t="n"/>
      <c r="B72" s="12" t="n"/>
      <c r="C72" s="12" t="n"/>
      <c r="D72" s="12" t="n"/>
      <c r="E72" s="18" t="n"/>
      <c r="F72" s="13" t="n"/>
      <c r="G72" s="19">
        <f>IF(C72="","",IF(IFERROR(INDEX(Teams!$C$5:$C$104,MATCH(B72,Teams!$A$5:$A$104,0))&amp;"","")="","Unmapped",INDEX(Teams!$C$5:$C$104,MATCH(B72,Teams!$A$5:$A$104,0))))</f>
        <v/>
      </c>
      <c r="H72" s="20">
        <f>IF(C72="","",IFERROR(INDEX(Settings!$C$11:$C$25,MATCH(C72&amp;" - "&amp;D72,Settings!$D$11:$D$25,0)),0))</f>
        <v/>
      </c>
      <c r="I72" s="21">
        <f>IF(C72="","",H72*IF(E72="",1,E72/Settings!$B$4))</f>
        <v/>
      </c>
      <c r="J72" s="21">
        <f>IF(OR(C72="",C72="Claude Code"),0,IF(IFERROR(INDEX(Settings!$C$29:$C$31,MATCH(C72,Settings!$A$29:$A$31,0)),"")="",N(F72),IF(SUMIFS($F$5:$F$304,$C$5:$C$304,C72&amp;"")=0,0,N(F72)/SUMIFS($F$5:$F$304,$C$5:$C$304,C72&amp;"")*INDEX(Settings!$C$29:$C$31,MATCH(C72,Settings!$A$29:$A$31,0)))))</f>
        <v/>
      </c>
      <c r="K72" s="21">
        <f>IF(C72="","",I72+J72)</f>
        <v/>
      </c>
      <c r="L72" s="14">
        <f>IF(C72="","",IF(H72=0,IF(ISNUMBER(MATCH(C72&amp;" - "&amp;D72,Settings!$D$11:$D$25,0)),"OK","Tier not in Settings"),IF(G72="Unmapped","Team key not in Teams","OK")))</f>
        <v/>
      </c>
    </row>
    <row r="73">
      <c r="A73" s="12" t="n"/>
      <c r="B73" s="12" t="n"/>
      <c r="C73" s="12" t="n"/>
      <c r="D73" s="12" t="n"/>
      <c r="E73" s="18" t="n"/>
      <c r="F73" s="13" t="n"/>
      <c r="G73" s="19">
        <f>IF(C73="","",IF(IFERROR(INDEX(Teams!$C$5:$C$104,MATCH(B73,Teams!$A$5:$A$104,0))&amp;"","")="","Unmapped",INDEX(Teams!$C$5:$C$104,MATCH(B73,Teams!$A$5:$A$104,0))))</f>
        <v/>
      </c>
      <c r="H73" s="20">
        <f>IF(C73="","",IFERROR(INDEX(Settings!$C$11:$C$25,MATCH(C73&amp;" - "&amp;D73,Settings!$D$11:$D$25,0)),0))</f>
        <v/>
      </c>
      <c r="I73" s="21">
        <f>IF(C73="","",H73*IF(E73="",1,E73/Settings!$B$4))</f>
        <v/>
      </c>
      <c r="J73" s="21">
        <f>IF(OR(C73="",C73="Claude Code"),0,IF(IFERROR(INDEX(Settings!$C$29:$C$31,MATCH(C73,Settings!$A$29:$A$31,0)),"")="",N(F73),IF(SUMIFS($F$5:$F$304,$C$5:$C$304,C73&amp;"")=0,0,N(F73)/SUMIFS($F$5:$F$304,$C$5:$C$304,C73&amp;"")*INDEX(Settings!$C$29:$C$31,MATCH(C73,Settings!$A$29:$A$31,0)))))</f>
        <v/>
      </c>
      <c r="K73" s="21">
        <f>IF(C73="","",I73+J73)</f>
        <v/>
      </c>
      <c r="L73" s="14">
        <f>IF(C73="","",IF(H73=0,IF(ISNUMBER(MATCH(C73&amp;" - "&amp;D73,Settings!$D$11:$D$25,0)),"OK","Tier not in Settings"),IF(G73="Unmapped","Team key not in Teams","OK")))</f>
        <v/>
      </c>
    </row>
    <row r="74">
      <c r="A74" s="12" t="n"/>
      <c r="B74" s="12" t="n"/>
      <c r="C74" s="12" t="n"/>
      <c r="D74" s="12" t="n"/>
      <c r="E74" s="18" t="n"/>
      <c r="F74" s="13" t="n"/>
      <c r="G74" s="19">
        <f>IF(C74="","",IF(IFERROR(INDEX(Teams!$C$5:$C$104,MATCH(B74,Teams!$A$5:$A$104,0))&amp;"","")="","Unmapped",INDEX(Teams!$C$5:$C$104,MATCH(B74,Teams!$A$5:$A$104,0))))</f>
        <v/>
      </c>
      <c r="H74" s="20">
        <f>IF(C74="","",IFERROR(INDEX(Settings!$C$11:$C$25,MATCH(C74&amp;" - "&amp;D74,Settings!$D$11:$D$25,0)),0))</f>
        <v/>
      </c>
      <c r="I74" s="21">
        <f>IF(C74="","",H74*IF(E74="",1,E74/Settings!$B$4))</f>
        <v/>
      </c>
      <c r="J74" s="21">
        <f>IF(OR(C74="",C74="Claude Code"),0,IF(IFERROR(INDEX(Settings!$C$29:$C$31,MATCH(C74,Settings!$A$29:$A$31,0)),"")="",N(F74),IF(SUMIFS($F$5:$F$304,$C$5:$C$304,C74&amp;"")=0,0,N(F74)/SUMIFS($F$5:$F$304,$C$5:$C$304,C74&amp;"")*INDEX(Settings!$C$29:$C$31,MATCH(C74,Settings!$A$29:$A$31,0)))))</f>
        <v/>
      </c>
      <c r="K74" s="21">
        <f>IF(C74="","",I74+J74)</f>
        <v/>
      </c>
      <c r="L74" s="14">
        <f>IF(C74="","",IF(H74=0,IF(ISNUMBER(MATCH(C74&amp;" - "&amp;D74,Settings!$D$11:$D$25,0)),"OK","Tier not in Settings"),IF(G74="Unmapped","Team key not in Teams","OK")))</f>
        <v/>
      </c>
    </row>
    <row r="75">
      <c r="A75" s="12" t="n"/>
      <c r="B75" s="12" t="n"/>
      <c r="C75" s="12" t="n"/>
      <c r="D75" s="12" t="n"/>
      <c r="E75" s="18" t="n"/>
      <c r="F75" s="13" t="n"/>
      <c r="G75" s="19">
        <f>IF(C75="","",IF(IFERROR(INDEX(Teams!$C$5:$C$104,MATCH(B75,Teams!$A$5:$A$104,0))&amp;"","")="","Unmapped",INDEX(Teams!$C$5:$C$104,MATCH(B75,Teams!$A$5:$A$104,0))))</f>
        <v/>
      </c>
      <c r="H75" s="20">
        <f>IF(C75="","",IFERROR(INDEX(Settings!$C$11:$C$25,MATCH(C75&amp;" - "&amp;D75,Settings!$D$11:$D$25,0)),0))</f>
        <v/>
      </c>
      <c r="I75" s="21">
        <f>IF(C75="","",H75*IF(E75="",1,E75/Settings!$B$4))</f>
        <v/>
      </c>
      <c r="J75" s="21">
        <f>IF(OR(C75="",C75="Claude Code"),0,IF(IFERROR(INDEX(Settings!$C$29:$C$31,MATCH(C75,Settings!$A$29:$A$31,0)),"")="",N(F75),IF(SUMIFS($F$5:$F$304,$C$5:$C$304,C75&amp;"")=0,0,N(F75)/SUMIFS($F$5:$F$304,$C$5:$C$304,C75&amp;"")*INDEX(Settings!$C$29:$C$31,MATCH(C75,Settings!$A$29:$A$31,0)))))</f>
        <v/>
      </c>
      <c r="K75" s="21">
        <f>IF(C75="","",I75+J75)</f>
        <v/>
      </c>
      <c r="L75" s="14">
        <f>IF(C75="","",IF(H75=0,IF(ISNUMBER(MATCH(C75&amp;" - "&amp;D75,Settings!$D$11:$D$25,0)),"OK","Tier not in Settings"),IF(G75="Unmapped","Team key not in Teams","OK")))</f>
        <v/>
      </c>
    </row>
    <row r="76">
      <c r="A76" s="12" t="n"/>
      <c r="B76" s="12" t="n"/>
      <c r="C76" s="12" t="n"/>
      <c r="D76" s="12" t="n"/>
      <c r="E76" s="18" t="n"/>
      <c r="F76" s="13" t="n"/>
      <c r="G76" s="19">
        <f>IF(C76="","",IF(IFERROR(INDEX(Teams!$C$5:$C$104,MATCH(B76,Teams!$A$5:$A$104,0))&amp;"","")="","Unmapped",INDEX(Teams!$C$5:$C$104,MATCH(B76,Teams!$A$5:$A$104,0))))</f>
        <v/>
      </c>
      <c r="H76" s="20">
        <f>IF(C76="","",IFERROR(INDEX(Settings!$C$11:$C$25,MATCH(C76&amp;" - "&amp;D76,Settings!$D$11:$D$25,0)),0))</f>
        <v/>
      </c>
      <c r="I76" s="21">
        <f>IF(C76="","",H76*IF(E76="",1,E76/Settings!$B$4))</f>
        <v/>
      </c>
      <c r="J76" s="21">
        <f>IF(OR(C76="",C76="Claude Code"),0,IF(IFERROR(INDEX(Settings!$C$29:$C$31,MATCH(C76,Settings!$A$29:$A$31,0)),"")="",N(F76),IF(SUMIFS($F$5:$F$304,$C$5:$C$304,C76&amp;"")=0,0,N(F76)/SUMIFS($F$5:$F$304,$C$5:$C$304,C76&amp;"")*INDEX(Settings!$C$29:$C$31,MATCH(C76,Settings!$A$29:$A$31,0)))))</f>
        <v/>
      </c>
      <c r="K76" s="21">
        <f>IF(C76="","",I76+J76)</f>
        <v/>
      </c>
      <c r="L76" s="14">
        <f>IF(C76="","",IF(H76=0,IF(ISNUMBER(MATCH(C76&amp;" - "&amp;D76,Settings!$D$11:$D$25,0)),"OK","Tier not in Settings"),IF(G76="Unmapped","Team key not in Teams","OK")))</f>
        <v/>
      </c>
    </row>
    <row r="77">
      <c r="A77" s="12" t="n"/>
      <c r="B77" s="12" t="n"/>
      <c r="C77" s="12" t="n"/>
      <c r="D77" s="12" t="n"/>
      <c r="E77" s="18" t="n"/>
      <c r="F77" s="13" t="n"/>
      <c r="G77" s="19">
        <f>IF(C77="","",IF(IFERROR(INDEX(Teams!$C$5:$C$104,MATCH(B77,Teams!$A$5:$A$104,0))&amp;"","")="","Unmapped",INDEX(Teams!$C$5:$C$104,MATCH(B77,Teams!$A$5:$A$104,0))))</f>
        <v/>
      </c>
      <c r="H77" s="20">
        <f>IF(C77="","",IFERROR(INDEX(Settings!$C$11:$C$25,MATCH(C77&amp;" - "&amp;D77,Settings!$D$11:$D$25,0)),0))</f>
        <v/>
      </c>
      <c r="I77" s="21">
        <f>IF(C77="","",H77*IF(E77="",1,E77/Settings!$B$4))</f>
        <v/>
      </c>
      <c r="J77" s="21">
        <f>IF(OR(C77="",C77="Claude Code"),0,IF(IFERROR(INDEX(Settings!$C$29:$C$31,MATCH(C77,Settings!$A$29:$A$31,0)),"")="",N(F77),IF(SUMIFS($F$5:$F$304,$C$5:$C$304,C77&amp;"")=0,0,N(F77)/SUMIFS($F$5:$F$304,$C$5:$C$304,C77&amp;"")*INDEX(Settings!$C$29:$C$31,MATCH(C77,Settings!$A$29:$A$31,0)))))</f>
        <v/>
      </c>
      <c r="K77" s="21">
        <f>IF(C77="","",I77+J77)</f>
        <v/>
      </c>
      <c r="L77" s="14">
        <f>IF(C77="","",IF(H77=0,IF(ISNUMBER(MATCH(C77&amp;" - "&amp;D77,Settings!$D$11:$D$25,0)),"OK","Tier not in Settings"),IF(G77="Unmapped","Team key not in Teams","OK")))</f>
        <v/>
      </c>
    </row>
    <row r="78">
      <c r="A78" s="12" t="n"/>
      <c r="B78" s="12" t="n"/>
      <c r="C78" s="12" t="n"/>
      <c r="D78" s="12" t="n"/>
      <c r="E78" s="18" t="n"/>
      <c r="F78" s="13" t="n"/>
      <c r="G78" s="19">
        <f>IF(C78="","",IF(IFERROR(INDEX(Teams!$C$5:$C$104,MATCH(B78,Teams!$A$5:$A$104,0))&amp;"","")="","Unmapped",INDEX(Teams!$C$5:$C$104,MATCH(B78,Teams!$A$5:$A$104,0))))</f>
        <v/>
      </c>
      <c r="H78" s="20">
        <f>IF(C78="","",IFERROR(INDEX(Settings!$C$11:$C$25,MATCH(C78&amp;" - "&amp;D78,Settings!$D$11:$D$25,0)),0))</f>
        <v/>
      </c>
      <c r="I78" s="21">
        <f>IF(C78="","",H78*IF(E78="",1,E78/Settings!$B$4))</f>
        <v/>
      </c>
      <c r="J78" s="21">
        <f>IF(OR(C78="",C78="Claude Code"),0,IF(IFERROR(INDEX(Settings!$C$29:$C$31,MATCH(C78,Settings!$A$29:$A$31,0)),"")="",N(F78),IF(SUMIFS($F$5:$F$304,$C$5:$C$304,C78&amp;"")=0,0,N(F78)/SUMIFS($F$5:$F$304,$C$5:$C$304,C78&amp;"")*INDEX(Settings!$C$29:$C$31,MATCH(C78,Settings!$A$29:$A$31,0)))))</f>
        <v/>
      </c>
      <c r="K78" s="21">
        <f>IF(C78="","",I78+J78)</f>
        <v/>
      </c>
      <c r="L78" s="14">
        <f>IF(C78="","",IF(H78=0,IF(ISNUMBER(MATCH(C78&amp;" - "&amp;D78,Settings!$D$11:$D$25,0)),"OK","Tier not in Settings"),IF(G78="Unmapped","Team key not in Teams","OK")))</f>
        <v/>
      </c>
    </row>
    <row r="79">
      <c r="A79" s="12" t="n"/>
      <c r="B79" s="12" t="n"/>
      <c r="C79" s="12" t="n"/>
      <c r="D79" s="12" t="n"/>
      <c r="E79" s="18" t="n"/>
      <c r="F79" s="13" t="n"/>
      <c r="G79" s="19">
        <f>IF(C79="","",IF(IFERROR(INDEX(Teams!$C$5:$C$104,MATCH(B79,Teams!$A$5:$A$104,0))&amp;"","")="","Unmapped",INDEX(Teams!$C$5:$C$104,MATCH(B79,Teams!$A$5:$A$104,0))))</f>
        <v/>
      </c>
      <c r="H79" s="20">
        <f>IF(C79="","",IFERROR(INDEX(Settings!$C$11:$C$25,MATCH(C79&amp;" - "&amp;D79,Settings!$D$11:$D$25,0)),0))</f>
        <v/>
      </c>
      <c r="I79" s="21">
        <f>IF(C79="","",H79*IF(E79="",1,E79/Settings!$B$4))</f>
        <v/>
      </c>
      <c r="J79" s="21">
        <f>IF(OR(C79="",C79="Claude Code"),0,IF(IFERROR(INDEX(Settings!$C$29:$C$31,MATCH(C79,Settings!$A$29:$A$31,0)),"")="",N(F79),IF(SUMIFS($F$5:$F$304,$C$5:$C$304,C79&amp;"")=0,0,N(F79)/SUMIFS($F$5:$F$304,$C$5:$C$304,C79&amp;"")*INDEX(Settings!$C$29:$C$31,MATCH(C79,Settings!$A$29:$A$31,0)))))</f>
        <v/>
      </c>
      <c r="K79" s="21">
        <f>IF(C79="","",I79+J79)</f>
        <v/>
      </c>
      <c r="L79" s="14">
        <f>IF(C79="","",IF(H79=0,IF(ISNUMBER(MATCH(C79&amp;" - "&amp;D79,Settings!$D$11:$D$25,0)),"OK","Tier not in Settings"),IF(G79="Unmapped","Team key not in Teams","OK")))</f>
        <v/>
      </c>
    </row>
    <row r="80">
      <c r="A80" s="12" t="n"/>
      <c r="B80" s="12" t="n"/>
      <c r="C80" s="12" t="n"/>
      <c r="D80" s="12" t="n"/>
      <c r="E80" s="18" t="n"/>
      <c r="F80" s="13" t="n"/>
      <c r="G80" s="19">
        <f>IF(C80="","",IF(IFERROR(INDEX(Teams!$C$5:$C$104,MATCH(B80,Teams!$A$5:$A$104,0))&amp;"","")="","Unmapped",INDEX(Teams!$C$5:$C$104,MATCH(B80,Teams!$A$5:$A$104,0))))</f>
        <v/>
      </c>
      <c r="H80" s="20">
        <f>IF(C80="","",IFERROR(INDEX(Settings!$C$11:$C$25,MATCH(C80&amp;" - "&amp;D80,Settings!$D$11:$D$25,0)),0))</f>
        <v/>
      </c>
      <c r="I80" s="21">
        <f>IF(C80="","",H80*IF(E80="",1,E80/Settings!$B$4))</f>
        <v/>
      </c>
      <c r="J80" s="21">
        <f>IF(OR(C80="",C80="Claude Code"),0,IF(IFERROR(INDEX(Settings!$C$29:$C$31,MATCH(C80,Settings!$A$29:$A$31,0)),"")="",N(F80),IF(SUMIFS($F$5:$F$304,$C$5:$C$304,C80&amp;"")=0,0,N(F80)/SUMIFS($F$5:$F$304,$C$5:$C$304,C80&amp;"")*INDEX(Settings!$C$29:$C$31,MATCH(C80,Settings!$A$29:$A$31,0)))))</f>
        <v/>
      </c>
      <c r="K80" s="21">
        <f>IF(C80="","",I80+J80)</f>
        <v/>
      </c>
      <c r="L80" s="14">
        <f>IF(C80="","",IF(H80=0,IF(ISNUMBER(MATCH(C80&amp;" - "&amp;D80,Settings!$D$11:$D$25,0)),"OK","Tier not in Settings"),IF(G80="Unmapped","Team key not in Teams","OK")))</f>
        <v/>
      </c>
    </row>
    <row r="81">
      <c r="A81" s="12" t="n"/>
      <c r="B81" s="12" t="n"/>
      <c r="C81" s="12" t="n"/>
      <c r="D81" s="12" t="n"/>
      <c r="E81" s="18" t="n"/>
      <c r="F81" s="13" t="n"/>
      <c r="G81" s="19">
        <f>IF(C81="","",IF(IFERROR(INDEX(Teams!$C$5:$C$104,MATCH(B81,Teams!$A$5:$A$104,0))&amp;"","")="","Unmapped",INDEX(Teams!$C$5:$C$104,MATCH(B81,Teams!$A$5:$A$104,0))))</f>
        <v/>
      </c>
      <c r="H81" s="20">
        <f>IF(C81="","",IFERROR(INDEX(Settings!$C$11:$C$25,MATCH(C81&amp;" - "&amp;D81,Settings!$D$11:$D$25,0)),0))</f>
        <v/>
      </c>
      <c r="I81" s="21">
        <f>IF(C81="","",H81*IF(E81="",1,E81/Settings!$B$4))</f>
        <v/>
      </c>
      <c r="J81" s="21">
        <f>IF(OR(C81="",C81="Claude Code"),0,IF(IFERROR(INDEX(Settings!$C$29:$C$31,MATCH(C81,Settings!$A$29:$A$31,0)),"")="",N(F81),IF(SUMIFS($F$5:$F$304,$C$5:$C$304,C81&amp;"")=0,0,N(F81)/SUMIFS($F$5:$F$304,$C$5:$C$304,C81&amp;"")*INDEX(Settings!$C$29:$C$31,MATCH(C81,Settings!$A$29:$A$31,0)))))</f>
        <v/>
      </c>
      <c r="K81" s="21">
        <f>IF(C81="","",I81+J81)</f>
        <v/>
      </c>
      <c r="L81" s="14">
        <f>IF(C81="","",IF(H81=0,IF(ISNUMBER(MATCH(C81&amp;" - "&amp;D81,Settings!$D$11:$D$25,0)),"OK","Tier not in Settings"),IF(G81="Unmapped","Team key not in Teams","OK")))</f>
        <v/>
      </c>
    </row>
    <row r="82">
      <c r="A82" s="12" t="n"/>
      <c r="B82" s="12" t="n"/>
      <c r="C82" s="12" t="n"/>
      <c r="D82" s="12" t="n"/>
      <c r="E82" s="18" t="n"/>
      <c r="F82" s="13" t="n"/>
      <c r="G82" s="19">
        <f>IF(C82="","",IF(IFERROR(INDEX(Teams!$C$5:$C$104,MATCH(B82,Teams!$A$5:$A$104,0))&amp;"","")="","Unmapped",INDEX(Teams!$C$5:$C$104,MATCH(B82,Teams!$A$5:$A$104,0))))</f>
        <v/>
      </c>
      <c r="H82" s="20">
        <f>IF(C82="","",IFERROR(INDEX(Settings!$C$11:$C$25,MATCH(C82&amp;" - "&amp;D82,Settings!$D$11:$D$25,0)),0))</f>
        <v/>
      </c>
      <c r="I82" s="21">
        <f>IF(C82="","",H82*IF(E82="",1,E82/Settings!$B$4))</f>
        <v/>
      </c>
      <c r="J82" s="21">
        <f>IF(OR(C82="",C82="Claude Code"),0,IF(IFERROR(INDEX(Settings!$C$29:$C$31,MATCH(C82,Settings!$A$29:$A$31,0)),"")="",N(F82),IF(SUMIFS($F$5:$F$304,$C$5:$C$304,C82&amp;"")=0,0,N(F82)/SUMIFS($F$5:$F$304,$C$5:$C$304,C82&amp;"")*INDEX(Settings!$C$29:$C$31,MATCH(C82,Settings!$A$29:$A$31,0)))))</f>
        <v/>
      </c>
      <c r="K82" s="21">
        <f>IF(C82="","",I82+J82)</f>
        <v/>
      </c>
      <c r="L82" s="14">
        <f>IF(C82="","",IF(H82=0,IF(ISNUMBER(MATCH(C82&amp;" - "&amp;D82,Settings!$D$11:$D$25,0)),"OK","Tier not in Settings"),IF(G82="Unmapped","Team key not in Teams","OK")))</f>
        <v/>
      </c>
    </row>
    <row r="83">
      <c r="A83" s="12" t="n"/>
      <c r="B83" s="12" t="n"/>
      <c r="C83" s="12" t="n"/>
      <c r="D83" s="12" t="n"/>
      <c r="E83" s="18" t="n"/>
      <c r="F83" s="13" t="n"/>
      <c r="G83" s="19">
        <f>IF(C83="","",IF(IFERROR(INDEX(Teams!$C$5:$C$104,MATCH(B83,Teams!$A$5:$A$104,0))&amp;"","")="","Unmapped",INDEX(Teams!$C$5:$C$104,MATCH(B83,Teams!$A$5:$A$104,0))))</f>
        <v/>
      </c>
      <c r="H83" s="20">
        <f>IF(C83="","",IFERROR(INDEX(Settings!$C$11:$C$25,MATCH(C83&amp;" - "&amp;D83,Settings!$D$11:$D$25,0)),0))</f>
        <v/>
      </c>
      <c r="I83" s="21">
        <f>IF(C83="","",H83*IF(E83="",1,E83/Settings!$B$4))</f>
        <v/>
      </c>
      <c r="J83" s="21">
        <f>IF(OR(C83="",C83="Claude Code"),0,IF(IFERROR(INDEX(Settings!$C$29:$C$31,MATCH(C83,Settings!$A$29:$A$31,0)),"")="",N(F83),IF(SUMIFS($F$5:$F$304,$C$5:$C$304,C83&amp;"")=0,0,N(F83)/SUMIFS($F$5:$F$304,$C$5:$C$304,C83&amp;"")*INDEX(Settings!$C$29:$C$31,MATCH(C83,Settings!$A$29:$A$31,0)))))</f>
        <v/>
      </c>
      <c r="K83" s="21">
        <f>IF(C83="","",I83+J83)</f>
        <v/>
      </c>
      <c r="L83" s="14">
        <f>IF(C83="","",IF(H83=0,IF(ISNUMBER(MATCH(C83&amp;" - "&amp;D83,Settings!$D$11:$D$25,0)),"OK","Tier not in Settings"),IF(G83="Unmapped","Team key not in Teams","OK")))</f>
        <v/>
      </c>
    </row>
    <row r="84">
      <c r="A84" s="12" t="n"/>
      <c r="B84" s="12" t="n"/>
      <c r="C84" s="12" t="n"/>
      <c r="D84" s="12" t="n"/>
      <c r="E84" s="18" t="n"/>
      <c r="F84" s="13" t="n"/>
      <c r="G84" s="19">
        <f>IF(C84="","",IF(IFERROR(INDEX(Teams!$C$5:$C$104,MATCH(B84,Teams!$A$5:$A$104,0))&amp;"","")="","Unmapped",INDEX(Teams!$C$5:$C$104,MATCH(B84,Teams!$A$5:$A$104,0))))</f>
        <v/>
      </c>
      <c r="H84" s="20">
        <f>IF(C84="","",IFERROR(INDEX(Settings!$C$11:$C$25,MATCH(C84&amp;" - "&amp;D84,Settings!$D$11:$D$25,0)),0))</f>
        <v/>
      </c>
      <c r="I84" s="21">
        <f>IF(C84="","",H84*IF(E84="",1,E84/Settings!$B$4))</f>
        <v/>
      </c>
      <c r="J84" s="21">
        <f>IF(OR(C84="",C84="Claude Code"),0,IF(IFERROR(INDEX(Settings!$C$29:$C$31,MATCH(C84,Settings!$A$29:$A$31,0)),"")="",N(F84),IF(SUMIFS($F$5:$F$304,$C$5:$C$304,C84&amp;"")=0,0,N(F84)/SUMIFS($F$5:$F$304,$C$5:$C$304,C84&amp;"")*INDEX(Settings!$C$29:$C$31,MATCH(C84,Settings!$A$29:$A$31,0)))))</f>
        <v/>
      </c>
      <c r="K84" s="21">
        <f>IF(C84="","",I84+J84)</f>
        <v/>
      </c>
      <c r="L84" s="14">
        <f>IF(C84="","",IF(H84=0,IF(ISNUMBER(MATCH(C84&amp;" - "&amp;D84,Settings!$D$11:$D$25,0)),"OK","Tier not in Settings"),IF(G84="Unmapped","Team key not in Teams","OK")))</f>
        <v/>
      </c>
    </row>
    <row r="85">
      <c r="A85" s="12" t="n"/>
      <c r="B85" s="12" t="n"/>
      <c r="C85" s="12" t="n"/>
      <c r="D85" s="12" t="n"/>
      <c r="E85" s="18" t="n"/>
      <c r="F85" s="13" t="n"/>
      <c r="G85" s="19">
        <f>IF(C85="","",IF(IFERROR(INDEX(Teams!$C$5:$C$104,MATCH(B85,Teams!$A$5:$A$104,0))&amp;"","")="","Unmapped",INDEX(Teams!$C$5:$C$104,MATCH(B85,Teams!$A$5:$A$104,0))))</f>
        <v/>
      </c>
      <c r="H85" s="20">
        <f>IF(C85="","",IFERROR(INDEX(Settings!$C$11:$C$25,MATCH(C85&amp;" - "&amp;D85,Settings!$D$11:$D$25,0)),0))</f>
        <v/>
      </c>
      <c r="I85" s="21">
        <f>IF(C85="","",H85*IF(E85="",1,E85/Settings!$B$4))</f>
        <v/>
      </c>
      <c r="J85" s="21">
        <f>IF(OR(C85="",C85="Claude Code"),0,IF(IFERROR(INDEX(Settings!$C$29:$C$31,MATCH(C85,Settings!$A$29:$A$31,0)),"")="",N(F85),IF(SUMIFS($F$5:$F$304,$C$5:$C$304,C85&amp;"")=0,0,N(F85)/SUMIFS($F$5:$F$304,$C$5:$C$304,C85&amp;"")*INDEX(Settings!$C$29:$C$31,MATCH(C85,Settings!$A$29:$A$31,0)))))</f>
        <v/>
      </c>
      <c r="K85" s="21">
        <f>IF(C85="","",I85+J85)</f>
        <v/>
      </c>
      <c r="L85" s="14">
        <f>IF(C85="","",IF(H85=0,IF(ISNUMBER(MATCH(C85&amp;" - "&amp;D85,Settings!$D$11:$D$25,0)),"OK","Tier not in Settings"),IF(G85="Unmapped","Team key not in Teams","OK")))</f>
        <v/>
      </c>
    </row>
    <row r="86">
      <c r="A86" s="12" t="n"/>
      <c r="B86" s="12" t="n"/>
      <c r="C86" s="12" t="n"/>
      <c r="D86" s="12" t="n"/>
      <c r="E86" s="18" t="n"/>
      <c r="F86" s="13" t="n"/>
      <c r="G86" s="19">
        <f>IF(C86="","",IF(IFERROR(INDEX(Teams!$C$5:$C$104,MATCH(B86,Teams!$A$5:$A$104,0))&amp;"","")="","Unmapped",INDEX(Teams!$C$5:$C$104,MATCH(B86,Teams!$A$5:$A$104,0))))</f>
        <v/>
      </c>
      <c r="H86" s="20">
        <f>IF(C86="","",IFERROR(INDEX(Settings!$C$11:$C$25,MATCH(C86&amp;" - "&amp;D86,Settings!$D$11:$D$25,0)),0))</f>
        <v/>
      </c>
      <c r="I86" s="21">
        <f>IF(C86="","",H86*IF(E86="",1,E86/Settings!$B$4))</f>
        <v/>
      </c>
      <c r="J86" s="21">
        <f>IF(OR(C86="",C86="Claude Code"),0,IF(IFERROR(INDEX(Settings!$C$29:$C$31,MATCH(C86,Settings!$A$29:$A$31,0)),"")="",N(F86),IF(SUMIFS($F$5:$F$304,$C$5:$C$304,C86&amp;"")=0,0,N(F86)/SUMIFS($F$5:$F$304,$C$5:$C$304,C86&amp;"")*INDEX(Settings!$C$29:$C$31,MATCH(C86,Settings!$A$29:$A$31,0)))))</f>
        <v/>
      </c>
      <c r="K86" s="21">
        <f>IF(C86="","",I86+J86)</f>
        <v/>
      </c>
      <c r="L86" s="14">
        <f>IF(C86="","",IF(H86=0,IF(ISNUMBER(MATCH(C86&amp;" - "&amp;D86,Settings!$D$11:$D$25,0)),"OK","Tier not in Settings"),IF(G86="Unmapped","Team key not in Teams","OK")))</f>
        <v/>
      </c>
    </row>
    <row r="87">
      <c r="A87" s="12" t="n"/>
      <c r="B87" s="12" t="n"/>
      <c r="C87" s="12" t="n"/>
      <c r="D87" s="12" t="n"/>
      <c r="E87" s="18" t="n"/>
      <c r="F87" s="13" t="n"/>
      <c r="G87" s="19">
        <f>IF(C87="","",IF(IFERROR(INDEX(Teams!$C$5:$C$104,MATCH(B87,Teams!$A$5:$A$104,0))&amp;"","")="","Unmapped",INDEX(Teams!$C$5:$C$104,MATCH(B87,Teams!$A$5:$A$104,0))))</f>
        <v/>
      </c>
      <c r="H87" s="20">
        <f>IF(C87="","",IFERROR(INDEX(Settings!$C$11:$C$25,MATCH(C87&amp;" - "&amp;D87,Settings!$D$11:$D$25,0)),0))</f>
        <v/>
      </c>
      <c r="I87" s="21">
        <f>IF(C87="","",H87*IF(E87="",1,E87/Settings!$B$4))</f>
        <v/>
      </c>
      <c r="J87" s="21">
        <f>IF(OR(C87="",C87="Claude Code"),0,IF(IFERROR(INDEX(Settings!$C$29:$C$31,MATCH(C87,Settings!$A$29:$A$31,0)),"")="",N(F87),IF(SUMIFS($F$5:$F$304,$C$5:$C$304,C87&amp;"")=0,0,N(F87)/SUMIFS($F$5:$F$304,$C$5:$C$304,C87&amp;"")*INDEX(Settings!$C$29:$C$31,MATCH(C87,Settings!$A$29:$A$31,0)))))</f>
        <v/>
      </c>
      <c r="K87" s="21">
        <f>IF(C87="","",I87+J87)</f>
        <v/>
      </c>
      <c r="L87" s="14">
        <f>IF(C87="","",IF(H87=0,IF(ISNUMBER(MATCH(C87&amp;" - "&amp;D87,Settings!$D$11:$D$25,0)),"OK","Tier not in Settings"),IF(G87="Unmapped","Team key not in Teams","OK")))</f>
        <v/>
      </c>
    </row>
    <row r="88">
      <c r="A88" s="12" t="n"/>
      <c r="B88" s="12" t="n"/>
      <c r="C88" s="12" t="n"/>
      <c r="D88" s="12" t="n"/>
      <c r="E88" s="18" t="n"/>
      <c r="F88" s="13" t="n"/>
      <c r="G88" s="19">
        <f>IF(C88="","",IF(IFERROR(INDEX(Teams!$C$5:$C$104,MATCH(B88,Teams!$A$5:$A$104,0))&amp;"","")="","Unmapped",INDEX(Teams!$C$5:$C$104,MATCH(B88,Teams!$A$5:$A$104,0))))</f>
        <v/>
      </c>
      <c r="H88" s="20">
        <f>IF(C88="","",IFERROR(INDEX(Settings!$C$11:$C$25,MATCH(C88&amp;" - "&amp;D88,Settings!$D$11:$D$25,0)),0))</f>
        <v/>
      </c>
      <c r="I88" s="21">
        <f>IF(C88="","",H88*IF(E88="",1,E88/Settings!$B$4))</f>
        <v/>
      </c>
      <c r="J88" s="21">
        <f>IF(OR(C88="",C88="Claude Code"),0,IF(IFERROR(INDEX(Settings!$C$29:$C$31,MATCH(C88,Settings!$A$29:$A$31,0)),"")="",N(F88),IF(SUMIFS($F$5:$F$304,$C$5:$C$304,C88&amp;"")=0,0,N(F88)/SUMIFS($F$5:$F$304,$C$5:$C$304,C88&amp;"")*INDEX(Settings!$C$29:$C$31,MATCH(C88,Settings!$A$29:$A$31,0)))))</f>
        <v/>
      </c>
      <c r="K88" s="21">
        <f>IF(C88="","",I88+J88)</f>
        <v/>
      </c>
      <c r="L88" s="14">
        <f>IF(C88="","",IF(H88=0,IF(ISNUMBER(MATCH(C88&amp;" - "&amp;D88,Settings!$D$11:$D$25,0)),"OK","Tier not in Settings"),IF(G88="Unmapped","Team key not in Teams","OK")))</f>
        <v/>
      </c>
    </row>
    <row r="89">
      <c r="A89" s="12" t="n"/>
      <c r="B89" s="12" t="n"/>
      <c r="C89" s="12" t="n"/>
      <c r="D89" s="12" t="n"/>
      <c r="E89" s="18" t="n"/>
      <c r="F89" s="13" t="n"/>
      <c r="G89" s="19">
        <f>IF(C89="","",IF(IFERROR(INDEX(Teams!$C$5:$C$104,MATCH(B89,Teams!$A$5:$A$104,0))&amp;"","")="","Unmapped",INDEX(Teams!$C$5:$C$104,MATCH(B89,Teams!$A$5:$A$104,0))))</f>
        <v/>
      </c>
      <c r="H89" s="20">
        <f>IF(C89="","",IFERROR(INDEX(Settings!$C$11:$C$25,MATCH(C89&amp;" - "&amp;D89,Settings!$D$11:$D$25,0)),0))</f>
        <v/>
      </c>
      <c r="I89" s="21">
        <f>IF(C89="","",H89*IF(E89="",1,E89/Settings!$B$4))</f>
        <v/>
      </c>
      <c r="J89" s="21">
        <f>IF(OR(C89="",C89="Claude Code"),0,IF(IFERROR(INDEX(Settings!$C$29:$C$31,MATCH(C89,Settings!$A$29:$A$31,0)),"")="",N(F89),IF(SUMIFS($F$5:$F$304,$C$5:$C$304,C89&amp;"")=0,0,N(F89)/SUMIFS($F$5:$F$304,$C$5:$C$304,C89&amp;"")*INDEX(Settings!$C$29:$C$31,MATCH(C89,Settings!$A$29:$A$31,0)))))</f>
        <v/>
      </c>
      <c r="K89" s="21">
        <f>IF(C89="","",I89+J89)</f>
        <v/>
      </c>
      <c r="L89" s="14">
        <f>IF(C89="","",IF(H89=0,IF(ISNUMBER(MATCH(C89&amp;" - "&amp;D89,Settings!$D$11:$D$25,0)),"OK","Tier not in Settings"),IF(G89="Unmapped","Team key not in Teams","OK")))</f>
        <v/>
      </c>
    </row>
    <row r="90">
      <c r="A90" s="12" t="n"/>
      <c r="B90" s="12" t="n"/>
      <c r="C90" s="12" t="n"/>
      <c r="D90" s="12" t="n"/>
      <c r="E90" s="18" t="n"/>
      <c r="F90" s="13" t="n"/>
      <c r="G90" s="19">
        <f>IF(C90="","",IF(IFERROR(INDEX(Teams!$C$5:$C$104,MATCH(B90,Teams!$A$5:$A$104,0))&amp;"","")="","Unmapped",INDEX(Teams!$C$5:$C$104,MATCH(B90,Teams!$A$5:$A$104,0))))</f>
        <v/>
      </c>
      <c r="H90" s="20">
        <f>IF(C90="","",IFERROR(INDEX(Settings!$C$11:$C$25,MATCH(C90&amp;" - "&amp;D90,Settings!$D$11:$D$25,0)),0))</f>
        <v/>
      </c>
      <c r="I90" s="21">
        <f>IF(C90="","",H90*IF(E90="",1,E90/Settings!$B$4))</f>
        <v/>
      </c>
      <c r="J90" s="21">
        <f>IF(OR(C90="",C90="Claude Code"),0,IF(IFERROR(INDEX(Settings!$C$29:$C$31,MATCH(C90,Settings!$A$29:$A$31,0)),"")="",N(F90),IF(SUMIFS($F$5:$F$304,$C$5:$C$304,C90&amp;"")=0,0,N(F90)/SUMIFS($F$5:$F$304,$C$5:$C$304,C90&amp;"")*INDEX(Settings!$C$29:$C$31,MATCH(C90,Settings!$A$29:$A$31,0)))))</f>
        <v/>
      </c>
      <c r="K90" s="21">
        <f>IF(C90="","",I90+J90)</f>
        <v/>
      </c>
      <c r="L90" s="14">
        <f>IF(C90="","",IF(H90=0,IF(ISNUMBER(MATCH(C90&amp;" - "&amp;D90,Settings!$D$11:$D$25,0)),"OK","Tier not in Settings"),IF(G90="Unmapped","Team key not in Teams","OK")))</f>
        <v/>
      </c>
    </row>
    <row r="91">
      <c r="A91" s="12" t="n"/>
      <c r="B91" s="12" t="n"/>
      <c r="C91" s="12" t="n"/>
      <c r="D91" s="12" t="n"/>
      <c r="E91" s="18" t="n"/>
      <c r="F91" s="13" t="n"/>
      <c r="G91" s="19">
        <f>IF(C91="","",IF(IFERROR(INDEX(Teams!$C$5:$C$104,MATCH(B91,Teams!$A$5:$A$104,0))&amp;"","")="","Unmapped",INDEX(Teams!$C$5:$C$104,MATCH(B91,Teams!$A$5:$A$104,0))))</f>
        <v/>
      </c>
      <c r="H91" s="20">
        <f>IF(C91="","",IFERROR(INDEX(Settings!$C$11:$C$25,MATCH(C91&amp;" - "&amp;D91,Settings!$D$11:$D$25,0)),0))</f>
        <v/>
      </c>
      <c r="I91" s="21">
        <f>IF(C91="","",H91*IF(E91="",1,E91/Settings!$B$4))</f>
        <v/>
      </c>
      <c r="J91" s="21">
        <f>IF(OR(C91="",C91="Claude Code"),0,IF(IFERROR(INDEX(Settings!$C$29:$C$31,MATCH(C91,Settings!$A$29:$A$31,0)),"")="",N(F91),IF(SUMIFS($F$5:$F$304,$C$5:$C$304,C91&amp;"")=0,0,N(F91)/SUMIFS($F$5:$F$304,$C$5:$C$304,C91&amp;"")*INDEX(Settings!$C$29:$C$31,MATCH(C91,Settings!$A$29:$A$31,0)))))</f>
        <v/>
      </c>
      <c r="K91" s="21">
        <f>IF(C91="","",I91+J91)</f>
        <v/>
      </c>
      <c r="L91" s="14">
        <f>IF(C91="","",IF(H91=0,IF(ISNUMBER(MATCH(C91&amp;" - "&amp;D91,Settings!$D$11:$D$25,0)),"OK","Tier not in Settings"),IF(G91="Unmapped","Team key not in Teams","OK")))</f>
        <v/>
      </c>
    </row>
    <row r="92">
      <c r="A92" s="12" t="n"/>
      <c r="B92" s="12" t="n"/>
      <c r="C92" s="12" t="n"/>
      <c r="D92" s="12" t="n"/>
      <c r="E92" s="18" t="n"/>
      <c r="F92" s="13" t="n"/>
      <c r="G92" s="19">
        <f>IF(C92="","",IF(IFERROR(INDEX(Teams!$C$5:$C$104,MATCH(B92,Teams!$A$5:$A$104,0))&amp;"","")="","Unmapped",INDEX(Teams!$C$5:$C$104,MATCH(B92,Teams!$A$5:$A$104,0))))</f>
        <v/>
      </c>
      <c r="H92" s="20">
        <f>IF(C92="","",IFERROR(INDEX(Settings!$C$11:$C$25,MATCH(C92&amp;" - "&amp;D92,Settings!$D$11:$D$25,0)),0))</f>
        <v/>
      </c>
      <c r="I92" s="21">
        <f>IF(C92="","",H92*IF(E92="",1,E92/Settings!$B$4))</f>
        <v/>
      </c>
      <c r="J92" s="21">
        <f>IF(OR(C92="",C92="Claude Code"),0,IF(IFERROR(INDEX(Settings!$C$29:$C$31,MATCH(C92,Settings!$A$29:$A$31,0)),"")="",N(F92),IF(SUMIFS($F$5:$F$304,$C$5:$C$304,C92&amp;"")=0,0,N(F92)/SUMIFS($F$5:$F$304,$C$5:$C$304,C92&amp;"")*INDEX(Settings!$C$29:$C$31,MATCH(C92,Settings!$A$29:$A$31,0)))))</f>
        <v/>
      </c>
      <c r="K92" s="21">
        <f>IF(C92="","",I92+J92)</f>
        <v/>
      </c>
      <c r="L92" s="14">
        <f>IF(C92="","",IF(H92=0,IF(ISNUMBER(MATCH(C92&amp;" - "&amp;D92,Settings!$D$11:$D$25,0)),"OK","Tier not in Settings"),IF(G92="Unmapped","Team key not in Teams","OK")))</f>
        <v/>
      </c>
    </row>
    <row r="93">
      <c r="A93" s="12" t="n"/>
      <c r="B93" s="12" t="n"/>
      <c r="C93" s="12" t="n"/>
      <c r="D93" s="12" t="n"/>
      <c r="E93" s="18" t="n"/>
      <c r="F93" s="13" t="n"/>
      <c r="G93" s="19">
        <f>IF(C93="","",IF(IFERROR(INDEX(Teams!$C$5:$C$104,MATCH(B93,Teams!$A$5:$A$104,0))&amp;"","")="","Unmapped",INDEX(Teams!$C$5:$C$104,MATCH(B93,Teams!$A$5:$A$104,0))))</f>
        <v/>
      </c>
      <c r="H93" s="20">
        <f>IF(C93="","",IFERROR(INDEX(Settings!$C$11:$C$25,MATCH(C93&amp;" - "&amp;D93,Settings!$D$11:$D$25,0)),0))</f>
        <v/>
      </c>
      <c r="I93" s="21">
        <f>IF(C93="","",H93*IF(E93="",1,E93/Settings!$B$4))</f>
        <v/>
      </c>
      <c r="J93" s="21">
        <f>IF(OR(C93="",C93="Claude Code"),0,IF(IFERROR(INDEX(Settings!$C$29:$C$31,MATCH(C93,Settings!$A$29:$A$31,0)),"")="",N(F93),IF(SUMIFS($F$5:$F$304,$C$5:$C$304,C93&amp;"")=0,0,N(F93)/SUMIFS($F$5:$F$304,$C$5:$C$304,C93&amp;"")*INDEX(Settings!$C$29:$C$31,MATCH(C93,Settings!$A$29:$A$31,0)))))</f>
        <v/>
      </c>
      <c r="K93" s="21">
        <f>IF(C93="","",I93+J93)</f>
        <v/>
      </c>
      <c r="L93" s="14">
        <f>IF(C93="","",IF(H93=0,IF(ISNUMBER(MATCH(C93&amp;" - "&amp;D93,Settings!$D$11:$D$25,0)),"OK","Tier not in Settings"),IF(G93="Unmapped","Team key not in Teams","OK")))</f>
        <v/>
      </c>
    </row>
    <row r="94">
      <c r="A94" s="12" t="n"/>
      <c r="B94" s="12" t="n"/>
      <c r="C94" s="12" t="n"/>
      <c r="D94" s="12" t="n"/>
      <c r="E94" s="18" t="n"/>
      <c r="F94" s="13" t="n"/>
      <c r="G94" s="19">
        <f>IF(C94="","",IF(IFERROR(INDEX(Teams!$C$5:$C$104,MATCH(B94,Teams!$A$5:$A$104,0))&amp;"","")="","Unmapped",INDEX(Teams!$C$5:$C$104,MATCH(B94,Teams!$A$5:$A$104,0))))</f>
        <v/>
      </c>
      <c r="H94" s="20">
        <f>IF(C94="","",IFERROR(INDEX(Settings!$C$11:$C$25,MATCH(C94&amp;" - "&amp;D94,Settings!$D$11:$D$25,0)),0))</f>
        <v/>
      </c>
      <c r="I94" s="21">
        <f>IF(C94="","",H94*IF(E94="",1,E94/Settings!$B$4))</f>
        <v/>
      </c>
      <c r="J94" s="21">
        <f>IF(OR(C94="",C94="Claude Code"),0,IF(IFERROR(INDEX(Settings!$C$29:$C$31,MATCH(C94,Settings!$A$29:$A$31,0)),"")="",N(F94),IF(SUMIFS($F$5:$F$304,$C$5:$C$304,C94&amp;"")=0,0,N(F94)/SUMIFS($F$5:$F$304,$C$5:$C$304,C94&amp;"")*INDEX(Settings!$C$29:$C$31,MATCH(C94,Settings!$A$29:$A$31,0)))))</f>
        <v/>
      </c>
      <c r="K94" s="21">
        <f>IF(C94="","",I94+J94)</f>
        <v/>
      </c>
      <c r="L94" s="14">
        <f>IF(C94="","",IF(H94=0,IF(ISNUMBER(MATCH(C94&amp;" - "&amp;D94,Settings!$D$11:$D$25,0)),"OK","Tier not in Settings"),IF(G94="Unmapped","Team key not in Teams","OK")))</f>
        <v/>
      </c>
    </row>
    <row r="95">
      <c r="A95" s="12" t="n"/>
      <c r="B95" s="12" t="n"/>
      <c r="C95" s="12" t="n"/>
      <c r="D95" s="12" t="n"/>
      <c r="E95" s="18" t="n"/>
      <c r="F95" s="13" t="n"/>
      <c r="G95" s="19">
        <f>IF(C95="","",IF(IFERROR(INDEX(Teams!$C$5:$C$104,MATCH(B95,Teams!$A$5:$A$104,0))&amp;"","")="","Unmapped",INDEX(Teams!$C$5:$C$104,MATCH(B95,Teams!$A$5:$A$104,0))))</f>
        <v/>
      </c>
      <c r="H95" s="20">
        <f>IF(C95="","",IFERROR(INDEX(Settings!$C$11:$C$25,MATCH(C95&amp;" - "&amp;D95,Settings!$D$11:$D$25,0)),0))</f>
        <v/>
      </c>
      <c r="I95" s="21">
        <f>IF(C95="","",H95*IF(E95="",1,E95/Settings!$B$4))</f>
        <v/>
      </c>
      <c r="J95" s="21">
        <f>IF(OR(C95="",C95="Claude Code"),0,IF(IFERROR(INDEX(Settings!$C$29:$C$31,MATCH(C95,Settings!$A$29:$A$31,0)),"")="",N(F95),IF(SUMIFS($F$5:$F$304,$C$5:$C$304,C95&amp;"")=0,0,N(F95)/SUMIFS($F$5:$F$304,$C$5:$C$304,C95&amp;"")*INDEX(Settings!$C$29:$C$31,MATCH(C95,Settings!$A$29:$A$31,0)))))</f>
        <v/>
      </c>
      <c r="K95" s="21">
        <f>IF(C95="","",I95+J95)</f>
        <v/>
      </c>
      <c r="L95" s="14">
        <f>IF(C95="","",IF(H95=0,IF(ISNUMBER(MATCH(C95&amp;" - "&amp;D95,Settings!$D$11:$D$25,0)),"OK","Tier not in Settings"),IF(G95="Unmapped","Team key not in Teams","OK")))</f>
        <v/>
      </c>
    </row>
    <row r="96">
      <c r="A96" s="12" t="n"/>
      <c r="B96" s="12" t="n"/>
      <c r="C96" s="12" t="n"/>
      <c r="D96" s="12" t="n"/>
      <c r="E96" s="18" t="n"/>
      <c r="F96" s="13" t="n"/>
      <c r="G96" s="19">
        <f>IF(C96="","",IF(IFERROR(INDEX(Teams!$C$5:$C$104,MATCH(B96,Teams!$A$5:$A$104,0))&amp;"","")="","Unmapped",INDEX(Teams!$C$5:$C$104,MATCH(B96,Teams!$A$5:$A$104,0))))</f>
        <v/>
      </c>
      <c r="H96" s="20">
        <f>IF(C96="","",IFERROR(INDEX(Settings!$C$11:$C$25,MATCH(C96&amp;" - "&amp;D96,Settings!$D$11:$D$25,0)),0))</f>
        <v/>
      </c>
      <c r="I96" s="21">
        <f>IF(C96="","",H96*IF(E96="",1,E96/Settings!$B$4))</f>
        <v/>
      </c>
      <c r="J96" s="21">
        <f>IF(OR(C96="",C96="Claude Code"),0,IF(IFERROR(INDEX(Settings!$C$29:$C$31,MATCH(C96,Settings!$A$29:$A$31,0)),"")="",N(F96),IF(SUMIFS($F$5:$F$304,$C$5:$C$304,C96&amp;"")=0,0,N(F96)/SUMIFS($F$5:$F$304,$C$5:$C$304,C96&amp;"")*INDEX(Settings!$C$29:$C$31,MATCH(C96,Settings!$A$29:$A$31,0)))))</f>
        <v/>
      </c>
      <c r="K96" s="21">
        <f>IF(C96="","",I96+J96)</f>
        <v/>
      </c>
      <c r="L96" s="14">
        <f>IF(C96="","",IF(H96=0,IF(ISNUMBER(MATCH(C96&amp;" - "&amp;D96,Settings!$D$11:$D$25,0)),"OK","Tier not in Settings"),IF(G96="Unmapped","Team key not in Teams","OK")))</f>
        <v/>
      </c>
    </row>
    <row r="97">
      <c r="A97" s="12" t="n"/>
      <c r="B97" s="12" t="n"/>
      <c r="C97" s="12" t="n"/>
      <c r="D97" s="12" t="n"/>
      <c r="E97" s="18" t="n"/>
      <c r="F97" s="13" t="n"/>
      <c r="G97" s="19">
        <f>IF(C97="","",IF(IFERROR(INDEX(Teams!$C$5:$C$104,MATCH(B97,Teams!$A$5:$A$104,0))&amp;"","")="","Unmapped",INDEX(Teams!$C$5:$C$104,MATCH(B97,Teams!$A$5:$A$104,0))))</f>
        <v/>
      </c>
      <c r="H97" s="20">
        <f>IF(C97="","",IFERROR(INDEX(Settings!$C$11:$C$25,MATCH(C97&amp;" - "&amp;D97,Settings!$D$11:$D$25,0)),0))</f>
        <v/>
      </c>
      <c r="I97" s="21">
        <f>IF(C97="","",H97*IF(E97="",1,E97/Settings!$B$4))</f>
        <v/>
      </c>
      <c r="J97" s="21">
        <f>IF(OR(C97="",C97="Claude Code"),0,IF(IFERROR(INDEX(Settings!$C$29:$C$31,MATCH(C97,Settings!$A$29:$A$31,0)),"")="",N(F97),IF(SUMIFS($F$5:$F$304,$C$5:$C$304,C97&amp;"")=0,0,N(F97)/SUMIFS($F$5:$F$304,$C$5:$C$304,C97&amp;"")*INDEX(Settings!$C$29:$C$31,MATCH(C97,Settings!$A$29:$A$31,0)))))</f>
        <v/>
      </c>
      <c r="K97" s="21">
        <f>IF(C97="","",I97+J97)</f>
        <v/>
      </c>
      <c r="L97" s="14">
        <f>IF(C97="","",IF(H97=0,IF(ISNUMBER(MATCH(C97&amp;" - "&amp;D97,Settings!$D$11:$D$25,0)),"OK","Tier not in Settings"),IF(G97="Unmapped","Team key not in Teams","OK")))</f>
        <v/>
      </c>
    </row>
    <row r="98">
      <c r="A98" s="12" t="n"/>
      <c r="B98" s="12" t="n"/>
      <c r="C98" s="12" t="n"/>
      <c r="D98" s="12" t="n"/>
      <c r="E98" s="18" t="n"/>
      <c r="F98" s="13" t="n"/>
      <c r="G98" s="19">
        <f>IF(C98="","",IF(IFERROR(INDEX(Teams!$C$5:$C$104,MATCH(B98,Teams!$A$5:$A$104,0))&amp;"","")="","Unmapped",INDEX(Teams!$C$5:$C$104,MATCH(B98,Teams!$A$5:$A$104,0))))</f>
        <v/>
      </c>
      <c r="H98" s="20">
        <f>IF(C98="","",IFERROR(INDEX(Settings!$C$11:$C$25,MATCH(C98&amp;" - "&amp;D98,Settings!$D$11:$D$25,0)),0))</f>
        <v/>
      </c>
      <c r="I98" s="21">
        <f>IF(C98="","",H98*IF(E98="",1,E98/Settings!$B$4))</f>
        <v/>
      </c>
      <c r="J98" s="21">
        <f>IF(OR(C98="",C98="Claude Code"),0,IF(IFERROR(INDEX(Settings!$C$29:$C$31,MATCH(C98,Settings!$A$29:$A$31,0)),"")="",N(F98),IF(SUMIFS($F$5:$F$304,$C$5:$C$304,C98&amp;"")=0,0,N(F98)/SUMIFS($F$5:$F$304,$C$5:$C$304,C98&amp;"")*INDEX(Settings!$C$29:$C$31,MATCH(C98,Settings!$A$29:$A$31,0)))))</f>
        <v/>
      </c>
      <c r="K98" s="21">
        <f>IF(C98="","",I98+J98)</f>
        <v/>
      </c>
      <c r="L98" s="14">
        <f>IF(C98="","",IF(H98=0,IF(ISNUMBER(MATCH(C98&amp;" - "&amp;D98,Settings!$D$11:$D$25,0)),"OK","Tier not in Settings"),IF(G98="Unmapped","Team key not in Teams","OK")))</f>
        <v/>
      </c>
    </row>
    <row r="99">
      <c r="A99" s="12" t="n"/>
      <c r="B99" s="12" t="n"/>
      <c r="C99" s="12" t="n"/>
      <c r="D99" s="12" t="n"/>
      <c r="E99" s="18" t="n"/>
      <c r="F99" s="13" t="n"/>
      <c r="G99" s="19">
        <f>IF(C99="","",IF(IFERROR(INDEX(Teams!$C$5:$C$104,MATCH(B99,Teams!$A$5:$A$104,0))&amp;"","")="","Unmapped",INDEX(Teams!$C$5:$C$104,MATCH(B99,Teams!$A$5:$A$104,0))))</f>
        <v/>
      </c>
      <c r="H99" s="20">
        <f>IF(C99="","",IFERROR(INDEX(Settings!$C$11:$C$25,MATCH(C99&amp;" - "&amp;D99,Settings!$D$11:$D$25,0)),0))</f>
        <v/>
      </c>
      <c r="I99" s="21">
        <f>IF(C99="","",H99*IF(E99="",1,E99/Settings!$B$4))</f>
        <v/>
      </c>
      <c r="J99" s="21">
        <f>IF(OR(C99="",C99="Claude Code"),0,IF(IFERROR(INDEX(Settings!$C$29:$C$31,MATCH(C99,Settings!$A$29:$A$31,0)),"")="",N(F99),IF(SUMIFS($F$5:$F$304,$C$5:$C$304,C99&amp;"")=0,0,N(F99)/SUMIFS($F$5:$F$304,$C$5:$C$304,C99&amp;"")*INDEX(Settings!$C$29:$C$31,MATCH(C99,Settings!$A$29:$A$31,0)))))</f>
        <v/>
      </c>
      <c r="K99" s="21">
        <f>IF(C99="","",I99+J99)</f>
        <v/>
      </c>
      <c r="L99" s="14">
        <f>IF(C99="","",IF(H99=0,IF(ISNUMBER(MATCH(C99&amp;" - "&amp;D99,Settings!$D$11:$D$25,0)),"OK","Tier not in Settings"),IF(G99="Unmapped","Team key not in Teams","OK")))</f>
        <v/>
      </c>
    </row>
    <row r="100">
      <c r="A100" s="12" t="n"/>
      <c r="B100" s="12" t="n"/>
      <c r="C100" s="12" t="n"/>
      <c r="D100" s="12" t="n"/>
      <c r="E100" s="18" t="n"/>
      <c r="F100" s="13" t="n"/>
      <c r="G100" s="19">
        <f>IF(C100="","",IF(IFERROR(INDEX(Teams!$C$5:$C$104,MATCH(B100,Teams!$A$5:$A$104,0))&amp;"","")="","Unmapped",INDEX(Teams!$C$5:$C$104,MATCH(B100,Teams!$A$5:$A$104,0))))</f>
        <v/>
      </c>
      <c r="H100" s="20">
        <f>IF(C100="","",IFERROR(INDEX(Settings!$C$11:$C$25,MATCH(C100&amp;" - "&amp;D100,Settings!$D$11:$D$25,0)),0))</f>
        <v/>
      </c>
      <c r="I100" s="21">
        <f>IF(C100="","",H100*IF(E100="",1,E100/Settings!$B$4))</f>
        <v/>
      </c>
      <c r="J100" s="21">
        <f>IF(OR(C100="",C100="Claude Code"),0,IF(IFERROR(INDEX(Settings!$C$29:$C$31,MATCH(C100,Settings!$A$29:$A$31,0)),"")="",N(F100),IF(SUMIFS($F$5:$F$304,$C$5:$C$304,C100&amp;"")=0,0,N(F100)/SUMIFS($F$5:$F$304,$C$5:$C$304,C100&amp;"")*INDEX(Settings!$C$29:$C$31,MATCH(C100,Settings!$A$29:$A$31,0)))))</f>
        <v/>
      </c>
      <c r="K100" s="21">
        <f>IF(C100="","",I100+J100)</f>
        <v/>
      </c>
      <c r="L100" s="14">
        <f>IF(C100="","",IF(H100=0,IF(ISNUMBER(MATCH(C100&amp;" - "&amp;D100,Settings!$D$11:$D$25,0)),"OK","Tier not in Settings"),IF(G100="Unmapped","Team key not in Teams","OK")))</f>
        <v/>
      </c>
    </row>
    <row r="101">
      <c r="A101" s="12" t="n"/>
      <c r="B101" s="12" t="n"/>
      <c r="C101" s="12" t="n"/>
      <c r="D101" s="12" t="n"/>
      <c r="E101" s="18" t="n"/>
      <c r="F101" s="13" t="n"/>
      <c r="G101" s="19">
        <f>IF(C101="","",IF(IFERROR(INDEX(Teams!$C$5:$C$104,MATCH(B101,Teams!$A$5:$A$104,0))&amp;"","")="","Unmapped",INDEX(Teams!$C$5:$C$104,MATCH(B101,Teams!$A$5:$A$104,0))))</f>
        <v/>
      </c>
      <c r="H101" s="20">
        <f>IF(C101="","",IFERROR(INDEX(Settings!$C$11:$C$25,MATCH(C101&amp;" - "&amp;D101,Settings!$D$11:$D$25,0)),0))</f>
        <v/>
      </c>
      <c r="I101" s="21">
        <f>IF(C101="","",H101*IF(E101="",1,E101/Settings!$B$4))</f>
        <v/>
      </c>
      <c r="J101" s="21">
        <f>IF(OR(C101="",C101="Claude Code"),0,IF(IFERROR(INDEX(Settings!$C$29:$C$31,MATCH(C101,Settings!$A$29:$A$31,0)),"")="",N(F101),IF(SUMIFS($F$5:$F$304,$C$5:$C$304,C101&amp;"")=0,0,N(F101)/SUMIFS($F$5:$F$304,$C$5:$C$304,C101&amp;"")*INDEX(Settings!$C$29:$C$31,MATCH(C101,Settings!$A$29:$A$31,0)))))</f>
        <v/>
      </c>
      <c r="K101" s="21">
        <f>IF(C101="","",I101+J101)</f>
        <v/>
      </c>
      <c r="L101" s="14">
        <f>IF(C101="","",IF(H101=0,IF(ISNUMBER(MATCH(C101&amp;" - "&amp;D101,Settings!$D$11:$D$25,0)),"OK","Tier not in Settings"),IF(G101="Unmapped","Team key not in Teams","OK")))</f>
        <v/>
      </c>
    </row>
    <row r="102">
      <c r="A102" s="12" t="n"/>
      <c r="B102" s="12" t="n"/>
      <c r="C102" s="12" t="n"/>
      <c r="D102" s="12" t="n"/>
      <c r="E102" s="18" t="n"/>
      <c r="F102" s="13" t="n"/>
      <c r="G102" s="19">
        <f>IF(C102="","",IF(IFERROR(INDEX(Teams!$C$5:$C$104,MATCH(B102,Teams!$A$5:$A$104,0))&amp;"","")="","Unmapped",INDEX(Teams!$C$5:$C$104,MATCH(B102,Teams!$A$5:$A$104,0))))</f>
        <v/>
      </c>
      <c r="H102" s="20">
        <f>IF(C102="","",IFERROR(INDEX(Settings!$C$11:$C$25,MATCH(C102&amp;" - "&amp;D102,Settings!$D$11:$D$25,0)),0))</f>
        <v/>
      </c>
      <c r="I102" s="21">
        <f>IF(C102="","",H102*IF(E102="",1,E102/Settings!$B$4))</f>
        <v/>
      </c>
      <c r="J102" s="21">
        <f>IF(OR(C102="",C102="Claude Code"),0,IF(IFERROR(INDEX(Settings!$C$29:$C$31,MATCH(C102,Settings!$A$29:$A$31,0)),"")="",N(F102),IF(SUMIFS($F$5:$F$304,$C$5:$C$304,C102&amp;"")=0,0,N(F102)/SUMIFS($F$5:$F$304,$C$5:$C$304,C102&amp;"")*INDEX(Settings!$C$29:$C$31,MATCH(C102,Settings!$A$29:$A$31,0)))))</f>
        <v/>
      </c>
      <c r="K102" s="21">
        <f>IF(C102="","",I102+J102)</f>
        <v/>
      </c>
      <c r="L102" s="14">
        <f>IF(C102="","",IF(H102=0,IF(ISNUMBER(MATCH(C102&amp;" - "&amp;D102,Settings!$D$11:$D$25,0)),"OK","Tier not in Settings"),IF(G102="Unmapped","Team key not in Teams","OK")))</f>
        <v/>
      </c>
    </row>
    <row r="103">
      <c r="A103" s="12" t="n"/>
      <c r="B103" s="12" t="n"/>
      <c r="C103" s="12" t="n"/>
      <c r="D103" s="12" t="n"/>
      <c r="E103" s="18" t="n"/>
      <c r="F103" s="13" t="n"/>
      <c r="G103" s="19">
        <f>IF(C103="","",IF(IFERROR(INDEX(Teams!$C$5:$C$104,MATCH(B103,Teams!$A$5:$A$104,0))&amp;"","")="","Unmapped",INDEX(Teams!$C$5:$C$104,MATCH(B103,Teams!$A$5:$A$104,0))))</f>
        <v/>
      </c>
      <c r="H103" s="20">
        <f>IF(C103="","",IFERROR(INDEX(Settings!$C$11:$C$25,MATCH(C103&amp;" - "&amp;D103,Settings!$D$11:$D$25,0)),0))</f>
        <v/>
      </c>
      <c r="I103" s="21">
        <f>IF(C103="","",H103*IF(E103="",1,E103/Settings!$B$4))</f>
        <v/>
      </c>
      <c r="J103" s="21">
        <f>IF(OR(C103="",C103="Claude Code"),0,IF(IFERROR(INDEX(Settings!$C$29:$C$31,MATCH(C103,Settings!$A$29:$A$31,0)),"")="",N(F103),IF(SUMIFS($F$5:$F$304,$C$5:$C$304,C103&amp;"")=0,0,N(F103)/SUMIFS($F$5:$F$304,$C$5:$C$304,C103&amp;"")*INDEX(Settings!$C$29:$C$31,MATCH(C103,Settings!$A$29:$A$31,0)))))</f>
        <v/>
      </c>
      <c r="K103" s="21">
        <f>IF(C103="","",I103+J103)</f>
        <v/>
      </c>
      <c r="L103" s="14">
        <f>IF(C103="","",IF(H103=0,IF(ISNUMBER(MATCH(C103&amp;" - "&amp;D103,Settings!$D$11:$D$25,0)),"OK","Tier not in Settings"),IF(G103="Unmapped","Team key not in Teams","OK")))</f>
        <v/>
      </c>
    </row>
    <row r="104">
      <c r="A104" s="12" t="n"/>
      <c r="B104" s="12" t="n"/>
      <c r="C104" s="12" t="n"/>
      <c r="D104" s="12" t="n"/>
      <c r="E104" s="18" t="n"/>
      <c r="F104" s="13" t="n"/>
      <c r="G104" s="19">
        <f>IF(C104="","",IF(IFERROR(INDEX(Teams!$C$5:$C$104,MATCH(B104,Teams!$A$5:$A$104,0))&amp;"","")="","Unmapped",INDEX(Teams!$C$5:$C$104,MATCH(B104,Teams!$A$5:$A$104,0))))</f>
        <v/>
      </c>
      <c r="H104" s="20">
        <f>IF(C104="","",IFERROR(INDEX(Settings!$C$11:$C$25,MATCH(C104&amp;" - "&amp;D104,Settings!$D$11:$D$25,0)),0))</f>
        <v/>
      </c>
      <c r="I104" s="21">
        <f>IF(C104="","",H104*IF(E104="",1,E104/Settings!$B$4))</f>
        <v/>
      </c>
      <c r="J104" s="21">
        <f>IF(OR(C104="",C104="Claude Code"),0,IF(IFERROR(INDEX(Settings!$C$29:$C$31,MATCH(C104,Settings!$A$29:$A$31,0)),"")="",N(F104),IF(SUMIFS($F$5:$F$304,$C$5:$C$304,C104&amp;"")=0,0,N(F104)/SUMIFS($F$5:$F$304,$C$5:$C$304,C104&amp;"")*INDEX(Settings!$C$29:$C$31,MATCH(C104,Settings!$A$29:$A$31,0)))))</f>
        <v/>
      </c>
      <c r="K104" s="21">
        <f>IF(C104="","",I104+J104)</f>
        <v/>
      </c>
      <c r="L104" s="14">
        <f>IF(C104="","",IF(H104=0,IF(ISNUMBER(MATCH(C104&amp;" - "&amp;D104,Settings!$D$11:$D$25,0)),"OK","Tier not in Settings"),IF(G104="Unmapped","Team key not in Teams","OK")))</f>
        <v/>
      </c>
    </row>
    <row r="105">
      <c r="A105" s="12" t="n"/>
      <c r="B105" s="12" t="n"/>
      <c r="C105" s="12" t="n"/>
      <c r="D105" s="12" t="n"/>
      <c r="E105" s="18" t="n"/>
      <c r="F105" s="13" t="n"/>
      <c r="G105" s="19">
        <f>IF(C105="","",IF(IFERROR(INDEX(Teams!$C$5:$C$104,MATCH(B105,Teams!$A$5:$A$104,0))&amp;"","")="","Unmapped",INDEX(Teams!$C$5:$C$104,MATCH(B105,Teams!$A$5:$A$104,0))))</f>
        <v/>
      </c>
      <c r="H105" s="20">
        <f>IF(C105="","",IFERROR(INDEX(Settings!$C$11:$C$25,MATCH(C105&amp;" - "&amp;D105,Settings!$D$11:$D$25,0)),0))</f>
        <v/>
      </c>
      <c r="I105" s="21">
        <f>IF(C105="","",H105*IF(E105="",1,E105/Settings!$B$4))</f>
        <v/>
      </c>
      <c r="J105" s="21">
        <f>IF(OR(C105="",C105="Claude Code"),0,IF(IFERROR(INDEX(Settings!$C$29:$C$31,MATCH(C105,Settings!$A$29:$A$31,0)),"")="",N(F105),IF(SUMIFS($F$5:$F$304,$C$5:$C$304,C105&amp;"")=0,0,N(F105)/SUMIFS($F$5:$F$304,$C$5:$C$304,C105&amp;"")*INDEX(Settings!$C$29:$C$31,MATCH(C105,Settings!$A$29:$A$31,0)))))</f>
        <v/>
      </c>
      <c r="K105" s="21">
        <f>IF(C105="","",I105+J105)</f>
        <v/>
      </c>
      <c r="L105" s="14">
        <f>IF(C105="","",IF(H105=0,IF(ISNUMBER(MATCH(C105&amp;" - "&amp;D105,Settings!$D$11:$D$25,0)),"OK","Tier not in Settings"),IF(G105="Unmapped","Team key not in Teams","OK")))</f>
        <v/>
      </c>
    </row>
    <row r="106">
      <c r="A106" s="12" t="n"/>
      <c r="B106" s="12" t="n"/>
      <c r="C106" s="12" t="n"/>
      <c r="D106" s="12" t="n"/>
      <c r="E106" s="18" t="n"/>
      <c r="F106" s="13" t="n"/>
      <c r="G106" s="19">
        <f>IF(C106="","",IF(IFERROR(INDEX(Teams!$C$5:$C$104,MATCH(B106,Teams!$A$5:$A$104,0))&amp;"","")="","Unmapped",INDEX(Teams!$C$5:$C$104,MATCH(B106,Teams!$A$5:$A$104,0))))</f>
        <v/>
      </c>
      <c r="H106" s="20">
        <f>IF(C106="","",IFERROR(INDEX(Settings!$C$11:$C$25,MATCH(C106&amp;" - "&amp;D106,Settings!$D$11:$D$25,0)),0))</f>
        <v/>
      </c>
      <c r="I106" s="21">
        <f>IF(C106="","",H106*IF(E106="",1,E106/Settings!$B$4))</f>
        <v/>
      </c>
      <c r="J106" s="21">
        <f>IF(OR(C106="",C106="Claude Code"),0,IF(IFERROR(INDEX(Settings!$C$29:$C$31,MATCH(C106,Settings!$A$29:$A$31,0)),"")="",N(F106),IF(SUMIFS($F$5:$F$304,$C$5:$C$304,C106&amp;"")=0,0,N(F106)/SUMIFS($F$5:$F$304,$C$5:$C$304,C106&amp;"")*INDEX(Settings!$C$29:$C$31,MATCH(C106,Settings!$A$29:$A$31,0)))))</f>
        <v/>
      </c>
      <c r="K106" s="21">
        <f>IF(C106="","",I106+J106)</f>
        <v/>
      </c>
      <c r="L106" s="14">
        <f>IF(C106="","",IF(H106=0,IF(ISNUMBER(MATCH(C106&amp;" - "&amp;D106,Settings!$D$11:$D$25,0)),"OK","Tier not in Settings"),IF(G106="Unmapped","Team key not in Teams","OK")))</f>
        <v/>
      </c>
    </row>
    <row r="107">
      <c r="A107" s="12" t="n"/>
      <c r="B107" s="12" t="n"/>
      <c r="C107" s="12" t="n"/>
      <c r="D107" s="12" t="n"/>
      <c r="E107" s="18" t="n"/>
      <c r="F107" s="13" t="n"/>
      <c r="G107" s="19">
        <f>IF(C107="","",IF(IFERROR(INDEX(Teams!$C$5:$C$104,MATCH(B107,Teams!$A$5:$A$104,0))&amp;"","")="","Unmapped",INDEX(Teams!$C$5:$C$104,MATCH(B107,Teams!$A$5:$A$104,0))))</f>
        <v/>
      </c>
      <c r="H107" s="20">
        <f>IF(C107="","",IFERROR(INDEX(Settings!$C$11:$C$25,MATCH(C107&amp;" - "&amp;D107,Settings!$D$11:$D$25,0)),0))</f>
        <v/>
      </c>
      <c r="I107" s="21">
        <f>IF(C107="","",H107*IF(E107="",1,E107/Settings!$B$4))</f>
        <v/>
      </c>
      <c r="J107" s="21">
        <f>IF(OR(C107="",C107="Claude Code"),0,IF(IFERROR(INDEX(Settings!$C$29:$C$31,MATCH(C107,Settings!$A$29:$A$31,0)),"")="",N(F107),IF(SUMIFS($F$5:$F$304,$C$5:$C$304,C107&amp;"")=0,0,N(F107)/SUMIFS($F$5:$F$304,$C$5:$C$304,C107&amp;"")*INDEX(Settings!$C$29:$C$31,MATCH(C107,Settings!$A$29:$A$31,0)))))</f>
        <v/>
      </c>
      <c r="K107" s="21">
        <f>IF(C107="","",I107+J107)</f>
        <v/>
      </c>
      <c r="L107" s="14">
        <f>IF(C107="","",IF(H107=0,IF(ISNUMBER(MATCH(C107&amp;" - "&amp;D107,Settings!$D$11:$D$25,0)),"OK","Tier not in Settings"),IF(G107="Unmapped","Team key not in Teams","OK")))</f>
        <v/>
      </c>
    </row>
    <row r="108">
      <c r="A108" s="12" t="n"/>
      <c r="B108" s="12" t="n"/>
      <c r="C108" s="12" t="n"/>
      <c r="D108" s="12" t="n"/>
      <c r="E108" s="18" t="n"/>
      <c r="F108" s="13" t="n"/>
      <c r="G108" s="19">
        <f>IF(C108="","",IF(IFERROR(INDEX(Teams!$C$5:$C$104,MATCH(B108,Teams!$A$5:$A$104,0))&amp;"","")="","Unmapped",INDEX(Teams!$C$5:$C$104,MATCH(B108,Teams!$A$5:$A$104,0))))</f>
        <v/>
      </c>
      <c r="H108" s="20">
        <f>IF(C108="","",IFERROR(INDEX(Settings!$C$11:$C$25,MATCH(C108&amp;" - "&amp;D108,Settings!$D$11:$D$25,0)),0))</f>
        <v/>
      </c>
      <c r="I108" s="21">
        <f>IF(C108="","",H108*IF(E108="",1,E108/Settings!$B$4))</f>
        <v/>
      </c>
      <c r="J108" s="21">
        <f>IF(OR(C108="",C108="Claude Code"),0,IF(IFERROR(INDEX(Settings!$C$29:$C$31,MATCH(C108,Settings!$A$29:$A$31,0)),"")="",N(F108),IF(SUMIFS($F$5:$F$304,$C$5:$C$304,C108&amp;"")=0,0,N(F108)/SUMIFS($F$5:$F$304,$C$5:$C$304,C108&amp;"")*INDEX(Settings!$C$29:$C$31,MATCH(C108,Settings!$A$29:$A$31,0)))))</f>
        <v/>
      </c>
      <c r="K108" s="21">
        <f>IF(C108="","",I108+J108)</f>
        <v/>
      </c>
      <c r="L108" s="14">
        <f>IF(C108="","",IF(H108=0,IF(ISNUMBER(MATCH(C108&amp;" - "&amp;D108,Settings!$D$11:$D$25,0)),"OK","Tier not in Settings"),IF(G108="Unmapped","Team key not in Teams","OK")))</f>
        <v/>
      </c>
    </row>
    <row r="109">
      <c r="A109" s="12" t="n"/>
      <c r="B109" s="12" t="n"/>
      <c r="C109" s="12" t="n"/>
      <c r="D109" s="12" t="n"/>
      <c r="E109" s="18" t="n"/>
      <c r="F109" s="13" t="n"/>
      <c r="G109" s="19">
        <f>IF(C109="","",IF(IFERROR(INDEX(Teams!$C$5:$C$104,MATCH(B109,Teams!$A$5:$A$104,0))&amp;"","")="","Unmapped",INDEX(Teams!$C$5:$C$104,MATCH(B109,Teams!$A$5:$A$104,0))))</f>
        <v/>
      </c>
      <c r="H109" s="20">
        <f>IF(C109="","",IFERROR(INDEX(Settings!$C$11:$C$25,MATCH(C109&amp;" - "&amp;D109,Settings!$D$11:$D$25,0)),0))</f>
        <v/>
      </c>
      <c r="I109" s="21">
        <f>IF(C109="","",H109*IF(E109="",1,E109/Settings!$B$4))</f>
        <v/>
      </c>
      <c r="J109" s="21">
        <f>IF(OR(C109="",C109="Claude Code"),0,IF(IFERROR(INDEX(Settings!$C$29:$C$31,MATCH(C109,Settings!$A$29:$A$31,0)),"")="",N(F109),IF(SUMIFS($F$5:$F$304,$C$5:$C$304,C109&amp;"")=0,0,N(F109)/SUMIFS($F$5:$F$304,$C$5:$C$304,C109&amp;"")*INDEX(Settings!$C$29:$C$31,MATCH(C109,Settings!$A$29:$A$31,0)))))</f>
        <v/>
      </c>
      <c r="K109" s="21">
        <f>IF(C109="","",I109+J109)</f>
        <v/>
      </c>
      <c r="L109" s="14">
        <f>IF(C109="","",IF(H109=0,IF(ISNUMBER(MATCH(C109&amp;" - "&amp;D109,Settings!$D$11:$D$25,0)),"OK","Tier not in Settings"),IF(G109="Unmapped","Team key not in Teams","OK")))</f>
        <v/>
      </c>
    </row>
    <row r="110">
      <c r="A110" s="12" t="n"/>
      <c r="B110" s="12" t="n"/>
      <c r="C110" s="12" t="n"/>
      <c r="D110" s="12" t="n"/>
      <c r="E110" s="18" t="n"/>
      <c r="F110" s="13" t="n"/>
      <c r="G110" s="19">
        <f>IF(C110="","",IF(IFERROR(INDEX(Teams!$C$5:$C$104,MATCH(B110,Teams!$A$5:$A$104,0))&amp;"","")="","Unmapped",INDEX(Teams!$C$5:$C$104,MATCH(B110,Teams!$A$5:$A$104,0))))</f>
        <v/>
      </c>
      <c r="H110" s="20">
        <f>IF(C110="","",IFERROR(INDEX(Settings!$C$11:$C$25,MATCH(C110&amp;" - "&amp;D110,Settings!$D$11:$D$25,0)),0))</f>
        <v/>
      </c>
      <c r="I110" s="21">
        <f>IF(C110="","",H110*IF(E110="",1,E110/Settings!$B$4))</f>
        <v/>
      </c>
      <c r="J110" s="21">
        <f>IF(OR(C110="",C110="Claude Code"),0,IF(IFERROR(INDEX(Settings!$C$29:$C$31,MATCH(C110,Settings!$A$29:$A$31,0)),"")="",N(F110),IF(SUMIFS($F$5:$F$304,$C$5:$C$304,C110&amp;"")=0,0,N(F110)/SUMIFS($F$5:$F$304,$C$5:$C$304,C110&amp;"")*INDEX(Settings!$C$29:$C$31,MATCH(C110,Settings!$A$29:$A$31,0)))))</f>
        <v/>
      </c>
      <c r="K110" s="21">
        <f>IF(C110="","",I110+J110)</f>
        <v/>
      </c>
      <c r="L110" s="14">
        <f>IF(C110="","",IF(H110=0,IF(ISNUMBER(MATCH(C110&amp;" - "&amp;D110,Settings!$D$11:$D$25,0)),"OK","Tier not in Settings"),IF(G110="Unmapped","Team key not in Teams","OK")))</f>
        <v/>
      </c>
    </row>
    <row r="111">
      <c r="A111" s="12" t="n"/>
      <c r="B111" s="12" t="n"/>
      <c r="C111" s="12" t="n"/>
      <c r="D111" s="12" t="n"/>
      <c r="E111" s="18" t="n"/>
      <c r="F111" s="13" t="n"/>
      <c r="G111" s="19">
        <f>IF(C111="","",IF(IFERROR(INDEX(Teams!$C$5:$C$104,MATCH(B111,Teams!$A$5:$A$104,0))&amp;"","")="","Unmapped",INDEX(Teams!$C$5:$C$104,MATCH(B111,Teams!$A$5:$A$104,0))))</f>
        <v/>
      </c>
      <c r="H111" s="20">
        <f>IF(C111="","",IFERROR(INDEX(Settings!$C$11:$C$25,MATCH(C111&amp;" - "&amp;D111,Settings!$D$11:$D$25,0)),0))</f>
        <v/>
      </c>
      <c r="I111" s="21">
        <f>IF(C111="","",H111*IF(E111="",1,E111/Settings!$B$4))</f>
        <v/>
      </c>
      <c r="J111" s="21">
        <f>IF(OR(C111="",C111="Claude Code"),0,IF(IFERROR(INDEX(Settings!$C$29:$C$31,MATCH(C111,Settings!$A$29:$A$31,0)),"")="",N(F111),IF(SUMIFS($F$5:$F$304,$C$5:$C$304,C111&amp;"")=0,0,N(F111)/SUMIFS($F$5:$F$304,$C$5:$C$304,C111&amp;"")*INDEX(Settings!$C$29:$C$31,MATCH(C111,Settings!$A$29:$A$31,0)))))</f>
        <v/>
      </c>
      <c r="K111" s="21">
        <f>IF(C111="","",I111+J111)</f>
        <v/>
      </c>
      <c r="L111" s="14">
        <f>IF(C111="","",IF(H111=0,IF(ISNUMBER(MATCH(C111&amp;" - "&amp;D111,Settings!$D$11:$D$25,0)),"OK","Tier not in Settings"),IF(G111="Unmapped","Team key not in Teams","OK")))</f>
        <v/>
      </c>
    </row>
    <row r="112">
      <c r="A112" s="12" t="n"/>
      <c r="B112" s="12" t="n"/>
      <c r="C112" s="12" t="n"/>
      <c r="D112" s="12" t="n"/>
      <c r="E112" s="18" t="n"/>
      <c r="F112" s="13" t="n"/>
      <c r="G112" s="19">
        <f>IF(C112="","",IF(IFERROR(INDEX(Teams!$C$5:$C$104,MATCH(B112,Teams!$A$5:$A$104,0))&amp;"","")="","Unmapped",INDEX(Teams!$C$5:$C$104,MATCH(B112,Teams!$A$5:$A$104,0))))</f>
        <v/>
      </c>
      <c r="H112" s="20">
        <f>IF(C112="","",IFERROR(INDEX(Settings!$C$11:$C$25,MATCH(C112&amp;" - "&amp;D112,Settings!$D$11:$D$25,0)),0))</f>
        <v/>
      </c>
      <c r="I112" s="21">
        <f>IF(C112="","",H112*IF(E112="",1,E112/Settings!$B$4))</f>
        <v/>
      </c>
      <c r="J112" s="21">
        <f>IF(OR(C112="",C112="Claude Code"),0,IF(IFERROR(INDEX(Settings!$C$29:$C$31,MATCH(C112,Settings!$A$29:$A$31,0)),"")="",N(F112),IF(SUMIFS($F$5:$F$304,$C$5:$C$304,C112&amp;"")=0,0,N(F112)/SUMIFS($F$5:$F$304,$C$5:$C$304,C112&amp;"")*INDEX(Settings!$C$29:$C$31,MATCH(C112,Settings!$A$29:$A$31,0)))))</f>
        <v/>
      </c>
      <c r="K112" s="21">
        <f>IF(C112="","",I112+J112)</f>
        <v/>
      </c>
      <c r="L112" s="14">
        <f>IF(C112="","",IF(H112=0,IF(ISNUMBER(MATCH(C112&amp;" - "&amp;D112,Settings!$D$11:$D$25,0)),"OK","Tier not in Settings"),IF(G112="Unmapped","Team key not in Teams","OK")))</f>
        <v/>
      </c>
    </row>
    <row r="113">
      <c r="A113" s="12" t="n"/>
      <c r="B113" s="12" t="n"/>
      <c r="C113" s="12" t="n"/>
      <c r="D113" s="12" t="n"/>
      <c r="E113" s="18" t="n"/>
      <c r="F113" s="13" t="n"/>
      <c r="G113" s="19">
        <f>IF(C113="","",IF(IFERROR(INDEX(Teams!$C$5:$C$104,MATCH(B113,Teams!$A$5:$A$104,0))&amp;"","")="","Unmapped",INDEX(Teams!$C$5:$C$104,MATCH(B113,Teams!$A$5:$A$104,0))))</f>
        <v/>
      </c>
      <c r="H113" s="20">
        <f>IF(C113="","",IFERROR(INDEX(Settings!$C$11:$C$25,MATCH(C113&amp;" - "&amp;D113,Settings!$D$11:$D$25,0)),0))</f>
        <v/>
      </c>
      <c r="I113" s="21">
        <f>IF(C113="","",H113*IF(E113="",1,E113/Settings!$B$4))</f>
        <v/>
      </c>
      <c r="J113" s="21">
        <f>IF(OR(C113="",C113="Claude Code"),0,IF(IFERROR(INDEX(Settings!$C$29:$C$31,MATCH(C113,Settings!$A$29:$A$31,0)),"")="",N(F113),IF(SUMIFS($F$5:$F$304,$C$5:$C$304,C113&amp;"")=0,0,N(F113)/SUMIFS($F$5:$F$304,$C$5:$C$304,C113&amp;"")*INDEX(Settings!$C$29:$C$31,MATCH(C113,Settings!$A$29:$A$31,0)))))</f>
        <v/>
      </c>
      <c r="K113" s="21">
        <f>IF(C113="","",I113+J113)</f>
        <v/>
      </c>
      <c r="L113" s="14">
        <f>IF(C113="","",IF(H113=0,IF(ISNUMBER(MATCH(C113&amp;" - "&amp;D113,Settings!$D$11:$D$25,0)),"OK","Tier not in Settings"),IF(G113="Unmapped","Team key not in Teams","OK")))</f>
        <v/>
      </c>
    </row>
    <row r="114">
      <c r="A114" s="12" t="n"/>
      <c r="B114" s="12" t="n"/>
      <c r="C114" s="12" t="n"/>
      <c r="D114" s="12" t="n"/>
      <c r="E114" s="18" t="n"/>
      <c r="F114" s="13" t="n"/>
      <c r="G114" s="19">
        <f>IF(C114="","",IF(IFERROR(INDEX(Teams!$C$5:$C$104,MATCH(B114,Teams!$A$5:$A$104,0))&amp;"","")="","Unmapped",INDEX(Teams!$C$5:$C$104,MATCH(B114,Teams!$A$5:$A$104,0))))</f>
        <v/>
      </c>
      <c r="H114" s="20">
        <f>IF(C114="","",IFERROR(INDEX(Settings!$C$11:$C$25,MATCH(C114&amp;" - "&amp;D114,Settings!$D$11:$D$25,0)),0))</f>
        <v/>
      </c>
      <c r="I114" s="21">
        <f>IF(C114="","",H114*IF(E114="",1,E114/Settings!$B$4))</f>
        <v/>
      </c>
      <c r="J114" s="21">
        <f>IF(OR(C114="",C114="Claude Code"),0,IF(IFERROR(INDEX(Settings!$C$29:$C$31,MATCH(C114,Settings!$A$29:$A$31,0)),"")="",N(F114),IF(SUMIFS($F$5:$F$304,$C$5:$C$304,C114&amp;"")=0,0,N(F114)/SUMIFS($F$5:$F$304,$C$5:$C$304,C114&amp;"")*INDEX(Settings!$C$29:$C$31,MATCH(C114,Settings!$A$29:$A$31,0)))))</f>
        <v/>
      </c>
      <c r="K114" s="21">
        <f>IF(C114="","",I114+J114)</f>
        <v/>
      </c>
      <c r="L114" s="14">
        <f>IF(C114="","",IF(H114=0,IF(ISNUMBER(MATCH(C114&amp;" - "&amp;D114,Settings!$D$11:$D$25,0)),"OK","Tier not in Settings"),IF(G114="Unmapped","Team key not in Teams","OK")))</f>
        <v/>
      </c>
    </row>
    <row r="115">
      <c r="A115" s="12" t="n"/>
      <c r="B115" s="12" t="n"/>
      <c r="C115" s="12" t="n"/>
      <c r="D115" s="12" t="n"/>
      <c r="E115" s="18" t="n"/>
      <c r="F115" s="13" t="n"/>
      <c r="G115" s="19">
        <f>IF(C115="","",IF(IFERROR(INDEX(Teams!$C$5:$C$104,MATCH(B115,Teams!$A$5:$A$104,0))&amp;"","")="","Unmapped",INDEX(Teams!$C$5:$C$104,MATCH(B115,Teams!$A$5:$A$104,0))))</f>
        <v/>
      </c>
      <c r="H115" s="20">
        <f>IF(C115="","",IFERROR(INDEX(Settings!$C$11:$C$25,MATCH(C115&amp;" - "&amp;D115,Settings!$D$11:$D$25,0)),0))</f>
        <v/>
      </c>
      <c r="I115" s="21">
        <f>IF(C115="","",H115*IF(E115="",1,E115/Settings!$B$4))</f>
        <v/>
      </c>
      <c r="J115" s="21">
        <f>IF(OR(C115="",C115="Claude Code"),0,IF(IFERROR(INDEX(Settings!$C$29:$C$31,MATCH(C115,Settings!$A$29:$A$31,0)),"")="",N(F115),IF(SUMIFS($F$5:$F$304,$C$5:$C$304,C115&amp;"")=0,0,N(F115)/SUMIFS($F$5:$F$304,$C$5:$C$304,C115&amp;"")*INDEX(Settings!$C$29:$C$31,MATCH(C115,Settings!$A$29:$A$31,0)))))</f>
        <v/>
      </c>
      <c r="K115" s="21">
        <f>IF(C115="","",I115+J115)</f>
        <v/>
      </c>
      <c r="L115" s="14">
        <f>IF(C115="","",IF(H115=0,IF(ISNUMBER(MATCH(C115&amp;" - "&amp;D115,Settings!$D$11:$D$25,0)),"OK","Tier not in Settings"),IF(G115="Unmapped","Team key not in Teams","OK")))</f>
        <v/>
      </c>
    </row>
    <row r="116">
      <c r="A116" s="12" t="n"/>
      <c r="B116" s="12" t="n"/>
      <c r="C116" s="12" t="n"/>
      <c r="D116" s="12" t="n"/>
      <c r="E116" s="18" t="n"/>
      <c r="F116" s="13" t="n"/>
      <c r="G116" s="19">
        <f>IF(C116="","",IF(IFERROR(INDEX(Teams!$C$5:$C$104,MATCH(B116,Teams!$A$5:$A$104,0))&amp;"","")="","Unmapped",INDEX(Teams!$C$5:$C$104,MATCH(B116,Teams!$A$5:$A$104,0))))</f>
        <v/>
      </c>
      <c r="H116" s="20">
        <f>IF(C116="","",IFERROR(INDEX(Settings!$C$11:$C$25,MATCH(C116&amp;" - "&amp;D116,Settings!$D$11:$D$25,0)),0))</f>
        <v/>
      </c>
      <c r="I116" s="21">
        <f>IF(C116="","",H116*IF(E116="",1,E116/Settings!$B$4))</f>
        <v/>
      </c>
      <c r="J116" s="21">
        <f>IF(OR(C116="",C116="Claude Code"),0,IF(IFERROR(INDEX(Settings!$C$29:$C$31,MATCH(C116,Settings!$A$29:$A$31,0)),"")="",N(F116),IF(SUMIFS($F$5:$F$304,$C$5:$C$304,C116&amp;"")=0,0,N(F116)/SUMIFS($F$5:$F$304,$C$5:$C$304,C116&amp;"")*INDEX(Settings!$C$29:$C$31,MATCH(C116,Settings!$A$29:$A$31,0)))))</f>
        <v/>
      </c>
      <c r="K116" s="21">
        <f>IF(C116="","",I116+J116)</f>
        <v/>
      </c>
      <c r="L116" s="14">
        <f>IF(C116="","",IF(H116=0,IF(ISNUMBER(MATCH(C116&amp;" - "&amp;D116,Settings!$D$11:$D$25,0)),"OK","Tier not in Settings"),IF(G116="Unmapped","Team key not in Teams","OK")))</f>
        <v/>
      </c>
    </row>
    <row r="117">
      <c r="A117" s="12" t="n"/>
      <c r="B117" s="12" t="n"/>
      <c r="C117" s="12" t="n"/>
      <c r="D117" s="12" t="n"/>
      <c r="E117" s="18" t="n"/>
      <c r="F117" s="13" t="n"/>
      <c r="G117" s="19">
        <f>IF(C117="","",IF(IFERROR(INDEX(Teams!$C$5:$C$104,MATCH(B117,Teams!$A$5:$A$104,0))&amp;"","")="","Unmapped",INDEX(Teams!$C$5:$C$104,MATCH(B117,Teams!$A$5:$A$104,0))))</f>
        <v/>
      </c>
      <c r="H117" s="20">
        <f>IF(C117="","",IFERROR(INDEX(Settings!$C$11:$C$25,MATCH(C117&amp;" - "&amp;D117,Settings!$D$11:$D$25,0)),0))</f>
        <v/>
      </c>
      <c r="I117" s="21">
        <f>IF(C117="","",H117*IF(E117="",1,E117/Settings!$B$4))</f>
        <v/>
      </c>
      <c r="J117" s="21">
        <f>IF(OR(C117="",C117="Claude Code"),0,IF(IFERROR(INDEX(Settings!$C$29:$C$31,MATCH(C117,Settings!$A$29:$A$31,0)),"")="",N(F117),IF(SUMIFS($F$5:$F$304,$C$5:$C$304,C117&amp;"")=0,0,N(F117)/SUMIFS($F$5:$F$304,$C$5:$C$304,C117&amp;"")*INDEX(Settings!$C$29:$C$31,MATCH(C117,Settings!$A$29:$A$31,0)))))</f>
        <v/>
      </c>
      <c r="K117" s="21">
        <f>IF(C117="","",I117+J117)</f>
        <v/>
      </c>
      <c r="L117" s="14">
        <f>IF(C117="","",IF(H117=0,IF(ISNUMBER(MATCH(C117&amp;" - "&amp;D117,Settings!$D$11:$D$25,0)),"OK","Tier not in Settings"),IF(G117="Unmapped","Team key not in Teams","OK")))</f>
        <v/>
      </c>
    </row>
    <row r="118">
      <c r="A118" s="12" t="n"/>
      <c r="B118" s="12" t="n"/>
      <c r="C118" s="12" t="n"/>
      <c r="D118" s="12" t="n"/>
      <c r="E118" s="18" t="n"/>
      <c r="F118" s="13" t="n"/>
      <c r="G118" s="19">
        <f>IF(C118="","",IF(IFERROR(INDEX(Teams!$C$5:$C$104,MATCH(B118,Teams!$A$5:$A$104,0))&amp;"","")="","Unmapped",INDEX(Teams!$C$5:$C$104,MATCH(B118,Teams!$A$5:$A$104,0))))</f>
        <v/>
      </c>
      <c r="H118" s="20">
        <f>IF(C118="","",IFERROR(INDEX(Settings!$C$11:$C$25,MATCH(C118&amp;" - "&amp;D118,Settings!$D$11:$D$25,0)),0))</f>
        <v/>
      </c>
      <c r="I118" s="21">
        <f>IF(C118="","",H118*IF(E118="",1,E118/Settings!$B$4))</f>
        <v/>
      </c>
      <c r="J118" s="21">
        <f>IF(OR(C118="",C118="Claude Code"),0,IF(IFERROR(INDEX(Settings!$C$29:$C$31,MATCH(C118,Settings!$A$29:$A$31,0)),"")="",N(F118),IF(SUMIFS($F$5:$F$304,$C$5:$C$304,C118&amp;"")=0,0,N(F118)/SUMIFS($F$5:$F$304,$C$5:$C$304,C118&amp;"")*INDEX(Settings!$C$29:$C$31,MATCH(C118,Settings!$A$29:$A$31,0)))))</f>
        <v/>
      </c>
      <c r="K118" s="21">
        <f>IF(C118="","",I118+J118)</f>
        <v/>
      </c>
      <c r="L118" s="14">
        <f>IF(C118="","",IF(H118=0,IF(ISNUMBER(MATCH(C118&amp;" - "&amp;D118,Settings!$D$11:$D$25,0)),"OK","Tier not in Settings"),IF(G118="Unmapped","Team key not in Teams","OK")))</f>
        <v/>
      </c>
    </row>
    <row r="119">
      <c r="A119" s="12" t="n"/>
      <c r="B119" s="12" t="n"/>
      <c r="C119" s="12" t="n"/>
      <c r="D119" s="12" t="n"/>
      <c r="E119" s="18" t="n"/>
      <c r="F119" s="13" t="n"/>
      <c r="G119" s="19">
        <f>IF(C119="","",IF(IFERROR(INDEX(Teams!$C$5:$C$104,MATCH(B119,Teams!$A$5:$A$104,0))&amp;"","")="","Unmapped",INDEX(Teams!$C$5:$C$104,MATCH(B119,Teams!$A$5:$A$104,0))))</f>
        <v/>
      </c>
      <c r="H119" s="20">
        <f>IF(C119="","",IFERROR(INDEX(Settings!$C$11:$C$25,MATCH(C119&amp;" - "&amp;D119,Settings!$D$11:$D$25,0)),0))</f>
        <v/>
      </c>
      <c r="I119" s="21">
        <f>IF(C119="","",H119*IF(E119="",1,E119/Settings!$B$4))</f>
        <v/>
      </c>
      <c r="J119" s="21">
        <f>IF(OR(C119="",C119="Claude Code"),0,IF(IFERROR(INDEX(Settings!$C$29:$C$31,MATCH(C119,Settings!$A$29:$A$31,0)),"")="",N(F119),IF(SUMIFS($F$5:$F$304,$C$5:$C$304,C119&amp;"")=0,0,N(F119)/SUMIFS($F$5:$F$304,$C$5:$C$304,C119&amp;"")*INDEX(Settings!$C$29:$C$31,MATCH(C119,Settings!$A$29:$A$31,0)))))</f>
        <v/>
      </c>
      <c r="K119" s="21">
        <f>IF(C119="","",I119+J119)</f>
        <v/>
      </c>
      <c r="L119" s="14">
        <f>IF(C119="","",IF(H119=0,IF(ISNUMBER(MATCH(C119&amp;" - "&amp;D119,Settings!$D$11:$D$25,0)),"OK","Tier not in Settings"),IF(G119="Unmapped","Team key not in Teams","OK")))</f>
        <v/>
      </c>
    </row>
    <row r="120">
      <c r="A120" s="12" t="n"/>
      <c r="B120" s="12" t="n"/>
      <c r="C120" s="12" t="n"/>
      <c r="D120" s="12" t="n"/>
      <c r="E120" s="18" t="n"/>
      <c r="F120" s="13" t="n"/>
      <c r="G120" s="19">
        <f>IF(C120="","",IF(IFERROR(INDEX(Teams!$C$5:$C$104,MATCH(B120,Teams!$A$5:$A$104,0))&amp;"","")="","Unmapped",INDEX(Teams!$C$5:$C$104,MATCH(B120,Teams!$A$5:$A$104,0))))</f>
        <v/>
      </c>
      <c r="H120" s="20">
        <f>IF(C120="","",IFERROR(INDEX(Settings!$C$11:$C$25,MATCH(C120&amp;" - "&amp;D120,Settings!$D$11:$D$25,0)),0))</f>
        <v/>
      </c>
      <c r="I120" s="21">
        <f>IF(C120="","",H120*IF(E120="",1,E120/Settings!$B$4))</f>
        <v/>
      </c>
      <c r="J120" s="21">
        <f>IF(OR(C120="",C120="Claude Code"),0,IF(IFERROR(INDEX(Settings!$C$29:$C$31,MATCH(C120,Settings!$A$29:$A$31,0)),"")="",N(F120),IF(SUMIFS($F$5:$F$304,$C$5:$C$304,C120&amp;"")=0,0,N(F120)/SUMIFS($F$5:$F$304,$C$5:$C$304,C120&amp;"")*INDEX(Settings!$C$29:$C$31,MATCH(C120,Settings!$A$29:$A$31,0)))))</f>
        <v/>
      </c>
      <c r="K120" s="21">
        <f>IF(C120="","",I120+J120)</f>
        <v/>
      </c>
      <c r="L120" s="14">
        <f>IF(C120="","",IF(H120=0,IF(ISNUMBER(MATCH(C120&amp;" - "&amp;D120,Settings!$D$11:$D$25,0)),"OK","Tier not in Settings"),IF(G120="Unmapped","Team key not in Teams","OK")))</f>
        <v/>
      </c>
    </row>
    <row r="121">
      <c r="A121" s="12" t="n"/>
      <c r="B121" s="12" t="n"/>
      <c r="C121" s="12" t="n"/>
      <c r="D121" s="12" t="n"/>
      <c r="E121" s="18" t="n"/>
      <c r="F121" s="13" t="n"/>
      <c r="G121" s="19">
        <f>IF(C121="","",IF(IFERROR(INDEX(Teams!$C$5:$C$104,MATCH(B121,Teams!$A$5:$A$104,0))&amp;"","")="","Unmapped",INDEX(Teams!$C$5:$C$104,MATCH(B121,Teams!$A$5:$A$104,0))))</f>
        <v/>
      </c>
      <c r="H121" s="20">
        <f>IF(C121="","",IFERROR(INDEX(Settings!$C$11:$C$25,MATCH(C121&amp;" - "&amp;D121,Settings!$D$11:$D$25,0)),0))</f>
        <v/>
      </c>
      <c r="I121" s="21">
        <f>IF(C121="","",H121*IF(E121="",1,E121/Settings!$B$4))</f>
        <v/>
      </c>
      <c r="J121" s="21">
        <f>IF(OR(C121="",C121="Claude Code"),0,IF(IFERROR(INDEX(Settings!$C$29:$C$31,MATCH(C121,Settings!$A$29:$A$31,0)),"")="",N(F121),IF(SUMIFS($F$5:$F$304,$C$5:$C$304,C121&amp;"")=0,0,N(F121)/SUMIFS($F$5:$F$304,$C$5:$C$304,C121&amp;"")*INDEX(Settings!$C$29:$C$31,MATCH(C121,Settings!$A$29:$A$31,0)))))</f>
        <v/>
      </c>
      <c r="K121" s="21">
        <f>IF(C121="","",I121+J121)</f>
        <v/>
      </c>
      <c r="L121" s="14">
        <f>IF(C121="","",IF(H121=0,IF(ISNUMBER(MATCH(C121&amp;" - "&amp;D121,Settings!$D$11:$D$25,0)),"OK","Tier not in Settings"),IF(G121="Unmapped","Team key not in Teams","OK")))</f>
        <v/>
      </c>
    </row>
    <row r="122">
      <c r="A122" s="12" t="n"/>
      <c r="B122" s="12" t="n"/>
      <c r="C122" s="12" t="n"/>
      <c r="D122" s="12" t="n"/>
      <c r="E122" s="18" t="n"/>
      <c r="F122" s="13" t="n"/>
      <c r="G122" s="19">
        <f>IF(C122="","",IF(IFERROR(INDEX(Teams!$C$5:$C$104,MATCH(B122,Teams!$A$5:$A$104,0))&amp;"","")="","Unmapped",INDEX(Teams!$C$5:$C$104,MATCH(B122,Teams!$A$5:$A$104,0))))</f>
        <v/>
      </c>
      <c r="H122" s="20">
        <f>IF(C122="","",IFERROR(INDEX(Settings!$C$11:$C$25,MATCH(C122&amp;" - "&amp;D122,Settings!$D$11:$D$25,0)),0))</f>
        <v/>
      </c>
      <c r="I122" s="21">
        <f>IF(C122="","",H122*IF(E122="",1,E122/Settings!$B$4))</f>
        <v/>
      </c>
      <c r="J122" s="21">
        <f>IF(OR(C122="",C122="Claude Code"),0,IF(IFERROR(INDEX(Settings!$C$29:$C$31,MATCH(C122,Settings!$A$29:$A$31,0)),"")="",N(F122),IF(SUMIFS($F$5:$F$304,$C$5:$C$304,C122&amp;"")=0,0,N(F122)/SUMIFS($F$5:$F$304,$C$5:$C$304,C122&amp;"")*INDEX(Settings!$C$29:$C$31,MATCH(C122,Settings!$A$29:$A$31,0)))))</f>
        <v/>
      </c>
      <c r="K122" s="21">
        <f>IF(C122="","",I122+J122)</f>
        <v/>
      </c>
      <c r="L122" s="14">
        <f>IF(C122="","",IF(H122=0,IF(ISNUMBER(MATCH(C122&amp;" - "&amp;D122,Settings!$D$11:$D$25,0)),"OK","Tier not in Settings"),IF(G122="Unmapped","Team key not in Teams","OK")))</f>
        <v/>
      </c>
    </row>
    <row r="123">
      <c r="A123" s="12" t="n"/>
      <c r="B123" s="12" t="n"/>
      <c r="C123" s="12" t="n"/>
      <c r="D123" s="12" t="n"/>
      <c r="E123" s="18" t="n"/>
      <c r="F123" s="13" t="n"/>
      <c r="G123" s="19">
        <f>IF(C123="","",IF(IFERROR(INDEX(Teams!$C$5:$C$104,MATCH(B123,Teams!$A$5:$A$104,0))&amp;"","")="","Unmapped",INDEX(Teams!$C$5:$C$104,MATCH(B123,Teams!$A$5:$A$104,0))))</f>
        <v/>
      </c>
      <c r="H123" s="20">
        <f>IF(C123="","",IFERROR(INDEX(Settings!$C$11:$C$25,MATCH(C123&amp;" - "&amp;D123,Settings!$D$11:$D$25,0)),0))</f>
        <v/>
      </c>
      <c r="I123" s="21">
        <f>IF(C123="","",H123*IF(E123="",1,E123/Settings!$B$4))</f>
        <v/>
      </c>
      <c r="J123" s="21">
        <f>IF(OR(C123="",C123="Claude Code"),0,IF(IFERROR(INDEX(Settings!$C$29:$C$31,MATCH(C123,Settings!$A$29:$A$31,0)),"")="",N(F123),IF(SUMIFS($F$5:$F$304,$C$5:$C$304,C123&amp;"")=0,0,N(F123)/SUMIFS($F$5:$F$304,$C$5:$C$304,C123&amp;"")*INDEX(Settings!$C$29:$C$31,MATCH(C123,Settings!$A$29:$A$31,0)))))</f>
        <v/>
      </c>
      <c r="K123" s="21">
        <f>IF(C123="","",I123+J123)</f>
        <v/>
      </c>
      <c r="L123" s="14">
        <f>IF(C123="","",IF(H123=0,IF(ISNUMBER(MATCH(C123&amp;" - "&amp;D123,Settings!$D$11:$D$25,0)),"OK","Tier not in Settings"),IF(G123="Unmapped","Team key not in Teams","OK")))</f>
        <v/>
      </c>
    </row>
    <row r="124">
      <c r="A124" s="12" t="n"/>
      <c r="B124" s="12" t="n"/>
      <c r="C124" s="12" t="n"/>
      <c r="D124" s="12" t="n"/>
      <c r="E124" s="18" t="n"/>
      <c r="F124" s="13" t="n"/>
      <c r="G124" s="19">
        <f>IF(C124="","",IF(IFERROR(INDEX(Teams!$C$5:$C$104,MATCH(B124,Teams!$A$5:$A$104,0))&amp;"","")="","Unmapped",INDEX(Teams!$C$5:$C$104,MATCH(B124,Teams!$A$5:$A$104,0))))</f>
        <v/>
      </c>
      <c r="H124" s="20">
        <f>IF(C124="","",IFERROR(INDEX(Settings!$C$11:$C$25,MATCH(C124&amp;" - "&amp;D124,Settings!$D$11:$D$25,0)),0))</f>
        <v/>
      </c>
      <c r="I124" s="21">
        <f>IF(C124="","",H124*IF(E124="",1,E124/Settings!$B$4))</f>
        <v/>
      </c>
      <c r="J124" s="21">
        <f>IF(OR(C124="",C124="Claude Code"),0,IF(IFERROR(INDEX(Settings!$C$29:$C$31,MATCH(C124,Settings!$A$29:$A$31,0)),"")="",N(F124),IF(SUMIFS($F$5:$F$304,$C$5:$C$304,C124&amp;"")=0,0,N(F124)/SUMIFS($F$5:$F$304,$C$5:$C$304,C124&amp;"")*INDEX(Settings!$C$29:$C$31,MATCH(C124,Settings!$A$29:$A$31,0)))))</f>
        <v/>
      </c>
      <c r="K124" s="21">
        <f>IF(C124="","",I124+J124)</f>
        <v/>
      </c>
      <c r="L124" s="14">
        <f>IF(C124="","",IF(H124=0,IF(ISNUMBER(MATCH(C124&amp;" - "&amp;D124,Settings!$D$11:$D$25,0)),"OK","Tier not in Settings"),IF(G124="Unmapped","Team key not in Teams","OK")))</f>
        <v/>
      </c>
    </row>
    <row r="125">
      <c r="A125" s="12" t="n"/>
      <c r="B125" s="12" t="n"/>
      <c r="C125" s="12" t="n"/>
      <c r="D125" s="12" t="n"/>
      <c r="E125" s="18" t="n"/>
      <c r="F125" s="13" t="n"/>
      <c r="G125" s="19">
        <f>IF(C125="","",IF(IFERROR(INDEX(Teams!$C$5:$C$104,MATCH(B125,Teams!$A$5:$A$104,0))&amp;"","")="","Unmapped",INDEX(Teams!$C$5:$C$104,MATCH(B125,Teams!$A$5:$A$104,0))))</f>
        <v/>
      </c>
      <c r="H125" s="20">
        <f>IF(C125="","",IFERROR(INDEX(Settings!$C$11:$C$25,MATCH(C125&amp;" - "&amp;D125,Settings!$D$11:$D$25,0)),0))</f>
        <v/>
      </c>
      <c r="I125" s="21">
        <f>IF(C125="","",H125*IF(E125="",1,E125/Settings!$B$4))</f>
        <v/>
      </c>
      <c r="J125" s="21">
        <f>IF(OR(C125="",C125="Claude Code"),0,IF(IFERROR(INDEX(Settings!$C$29:$C$31,MATCH(C125,Settings!$A$29:$A$31,0)),"")="",N(F125),IF(SUMIFS($F$5:$F$304,$C$5:$C$304,C125&amp;"")=0,0,N(F125)/SUMIFS($F$5:$F$304,$C$5:$C$304,C125&amp;"")*INDEX(Settings!$C$29:$C$31,MATCH(C125,Settings!$A$29:$A$31,0)))))</f>
        <v/>
      </c>
      <c r="K125" s="21">
        <f>IF(C125="","",I125+J125)</f>
        <v/>
      </c>
      <c r="L125" s="14">
        <f>IF(C125="","",IF(H125=0,IF(ISNUMBER(MATCH(C125&amp;" - "&amp;D125,Settings!$D$11:$D$25,0)),"OK","Tier not in Settings"),IF(G125="Unmapped","Team key not in Teams","OK")))</f>
        <v/>
      </c>
    </row>
    <row r="126">
      <c r="A126" s="12" t="n"/>
      <c r="B126" s="12" t="n"/>
      <c r="C126" s="12" t="n"/>
      <c r="D126" s="12" t="n"/>
      <c r="E126" s="18" t="n"/>
      <c r="F126" s="13" t="n"/>
      <c r="G126" s="19">
        <f>IF(C126="","",IF(IFERROR(INDEX(Teams!$C$5:$C$104,MATCH(B126,Teams!$A$5:$A$104,0))&amp;"","")="","Unmapped",INDEX(Teams!$C$5:$C$104,MATCH(B126,Teams!$A$5:$A$104,0))))</f>
        <v/>
      </c>
      <c r="H126" s="20">
        <f>IF(C126="","",IFERROR(INDEX(Settings!$C$11:$C$25,MATCH(C126&amp;" - "&amp;D126,Settings!$D$11:$D$25,0)),0))</f>
        <v/>
      </c>
      <c r="I126" s="21">
        <f>IF(C126="","",H126*IF(E126="",1,E126/Settings!$B$4))</f>
        <v/>
      </c>
      <c r="J126" s="21">
        <f>IF(OR(C126="",C126="Claude Code"),0,IF(IFERROR(INDEX(Settings!$C$29:$C$31,MATCH(C126,Settings!$A$29:$A$31,0)),"")="",N(F126),IF(SUMIFS($F$5:$F$304,$C$5:$C$304,C126&amp;"")=0,0,N(F126)/SUMIFS($F$5:$F$304,$C$5:$C$304,C126&amp;"")*INDEX(Settings!$C$29:$C$31,MATCH(C126,Settings!$A$29:$A$31,0)))))</f>
        <v/>
      </c>
      <c r="K126" s="21">
        <f>IF(C126="","",I126+J126)</f>
        <v/>
      </c>
      <c r="L126" s="14">
        <f>IF(C126="","",IF(H126=0,IF(ISNUMBER(MATCH(C126&amp;" - "&amp;D126,Settings!$D$11:$D$25,0)),"OK","Tier not in Settings"),IF(G126="Unmapped","Team key not in Teams","OK")))</f>
        <v/>
      </c>
    </row>
    <row r="127">
      <c r="A127" s="12" t="n"/>
      <c r="B127" s="12" t="n"/>
      <c r="C127" s="12" t="n"/>
      <c r="D127" s="12" t="n"/>
      <c r="E127" s="18" t="n"/>
      <c r="F127" s="13" t="n"/>
      <c r="G127" s="19">
        <f>IF(C127="","",IF(IFERROR(INDEX(Teams!$C$5:$C$104,MATCH(B127,Teams!$A$5:$A$104,0))&amp;"","")="","Unmapped",INDEX(Teams!$C$5:$C$104,MATCH(B127,Teams!$A$5:$A$104,0))))</f>
        <v/>
      </c>
      <c r="H127" s="20">
        <f>IF(C127="","",IFERROR(INDEX(Settings!$C$11:$C$25,MATCH(C127&amp;" - "&amp;D127,Settings!$D$11:$D$25,0)),0))</f>
        <v/>
      </c>
      <c r="I127" s="21">
        <f>IF(C127="","",H127*IF(E127="",1,E127/Settings!$B$4))</f>
        <v/>
      </c>
      <c r="J127" s="21">
        <f>IF(OR(C127="",C127="Claude Code"),0,IF(IFERROR(INDEX(Settings!$C$29:$C$31,MATCH(C127,Settings!$A$29:$A$31,0)),"")="",N(F127),IF(SUMIFS($F$5:$F$304,$C$5:$C$304,C127&amp;"")=0,0,N(F127)/SUMIFS($F$5:$F$304,$C$5:$C$304,C127&amp;"")*INDEX(Settings!$C$29:$C$31,MATCH(C127,Settings!$A$29:$A$31,0)))))</f>
        <v/>
      </c>
      <c r="K127" s="21">
        <f>IF(C127="","",I127+J127)</f>
        <v/>
      </c>
      <c r="L127" s="14">
        <f>IF(C127="","",IF(H127=0,IF(ISNUMBER(MATCH(C127&amp;" - "&amp;D127,Settings!$D$11:$D$25,0)),"OK","Tier not in Settings"),IF(G127="Unmapped","Team key not in Teams","OK")))</f>
        <v/>
      </c>
    </row>
    <row r="128">
      <c r="A128" s="12" t="n"/>
      <c r="B128" s="12" t="n"/>
      <c r="C128" s="12" t="n"/>
      <c r="D128" s="12" t="n"/>
      <c r="E128" s="18" t="n"/>
      <c r="F128" s="13" t="n"/>
      <c r="G128" s="19">
        <f>IF(C128="","",IF(IFERROR(INDEX(Teams!$C$5:$C$104,MATCH(B128,Teams!$A$5:$A$104,0))&amp;"","")="","Unmapped",INDEX(Teams!$C$5:$C$104,MATCH(B128,Teams!$A$5:$A$104,0))))</f>
        <v/>
      </c>
      <c r="H128" s="20">
        <f>IF(C128="","",IFERROR(INDEX(Settings!$C$11:$C$25,MATCH(C128&amp;" - "&amp;D128,Settings!$D$11:$D$25,0)),0))</f>
        <v/>
      </c>
      <c r="I128" s="21">
        <f>IF(C128="","",H128*IF(E128="",1,E128/Settings!$B$4))</f>
        <v/>
      </c>
      <c r="J128" s="21">
        <f>IF(OR(C128="",C128="Claude Code"),0,IF(IFERROR(INDEX(Settings!$C$29:$C$31,MATCH(C128,Settings!$A$29:$A$31,0)),"")="",N(F128),IF(SUMIFS($F$5:$F$304,$C$5:$C$304,C128&amp;"")=0,0,N(F128)/SUMIFS($F$5:$F$304,$C$5:$C$304,C128&amp;"")*INDEX(Settings!$C$29:$C$31,MATCH(C128,Settings!$A$29:$A$31,0)))))</f>
        <v/>
      </c>
      <c r="K128" s="21">
        <f>IF(C128="","",I128+J128)</f>
        <v/>
      </c>
      <c r="L128" s="14">
        <f>IF(C128="","",IF(H128=0,IF(ISNUMBER(MATCH(C128&amp;" - "&amp;D128,Settings!$D$11:$D$25,0)),"OK","Tier not in Settings"),IF(G128="Unmapped","Team key not in Teams","OK")))</f>
        <v/>
      </c>
    </row>
    <row r="129">
      <c r="A129" s="12" t="n"/>
      <c r="B129" s="12" t="n"/>
      <c r="C129" s="12" t="n"/>
      <c r="D129" s="12" t="n"/>
      <c r="E129" s="18" t="n"/>
      <c r="F129" s="13" t="n"/>
      <c r="G129" s="19">
        <f>IF(C129="","",IF(IFERROR(INDEX(Teams!$C$5:$C$104,MATCH(B129,Teams!$A$5:$A$104,0))&amp;"","")="","Unmapped",INDEX(Teams!$C$5:$C$104,MATCH(B129,Teams!$A$5:$A$104,0))))</f>
        <v/>
      </c>
      <c r="H129" s="20">
        <f>IF(C129="","",IFERROR(INDEX(Settings!$C$11:$C$25,MATCH(C129&amp;" - "&amp;D129,Settings!$D$11:$D$25,0)),0))</f>
        <v/>
      </c>
      <c r="I129" s="21">
        <f>IF(C129="","",H129*IF(E129="",1,E129/Settings!$B$4))</f>
        <v/>
      </c>
      <c r="J129" s="21">
        <f>IF(OR(C129="",C129="Claude Code"),0,IF(IFERROR(INDEX(Settings!$C$29:$C$31,MATCH(C129,Settings!$A$29:$A$31,0)),"")="",N(F129),IF(SUMIFS($F$5:$F$304,$C$5:$C$304,C129&amp;"")=0,0,N(F129)/SUMIFS($F$5:$F$304,$C$5:$C$304,C129&amp;"")*INDEX(Settings!$C$29:$C$31,MATCH(C129,Settings!$A$29:$A$31,0)))))</f>
        <v/>
      </c>
      <c r="K129" s="21">
        <f>IF(C129="","",I129+J129)</f>
        <v/>
      </c>
      <c r="L129" s="14">
        <f>IF(C129="","",IF(H129=0,IF(ISNUMBER(MATCH(C129&amp;" - "&amp;D129,Settings!$D$11:$D$25,0)),"OK","Tier not in Settings"),IF(G129="Unmapped","Team key not in Teams","OK")))</f>
        <v/>
      </c>
    </row>
    <row r="130">
      <c r="A130" s="12" t="n"/>
      <c r="B130" s="12" t="n"/>
      <c r="C130" s="12" t="n"/>
      <c r="D130" s="12" t="n"/>
      <c r="E130" s="18" t="n"/>
      <c r="F130" s="13" t="n"/>
      <c r="G130" s="19">
        <f>IF(C130="","",IF(IFERROR(INDEX(Teams!$C$5:$C$104,MATCH(B130,Teams!$A$5:$A$104,0))&amp;"","")="","Unmapped",INDEX(Teams!$C$5:$C$104,MATCH(B130,Teams!$A$5:$A$104,0))))</f>
        <v/>
      </c>
      <c r="H130" s="20">
        <f>IF(C130="","",IFERROR(INDEX(Settings!$C$11:$C$25,MATCH(C130&amp;" - "&amp;D130,Settings!$D$11:$D$25,0)),0))</f>
        <v/>
      </c>
      <c r="I130" s="21">
        <f>IF(C130="","",H130*IF(E130="",1,E130/Settings!$B$4))</f>
        <v/>
      </c>
      <c r="J130" s="21">
        <f>IF(OR(C130="",C130="Claude Code"),0,IF(IFERROR(INDEX(Settings!$C$29:$C$31,MATCH(C130,Settings!$A$29:$A$31,0)),"")="",N(F130),IF(SUMIFS($F$5:$F$304,$C$5:$C$304,C130&amp;"")=0,0,N(F130)/SUMIFS($F$5:$F$304,$C$5:$C$304,C130&amp;"")*INDEX(Settings!$C$29:$C$31,MATCH(C130,Settings!$A$29:$A$31,0)))))</f>
        <v/>
      </c>
      <c r="K130" s="21">
        <f>IF(C130="","",I130+J130)</f>
        <v/>
      </c>
      <c r="L130" s="14">
        <f>IF(C130="","",IF(H130=0,IF(ISNUMBER(MATCH(C130&amp;" - "&amp;D130,Settings!$D$11:$D$25,0)),"OK","Tier not in Settings"),IF(G130="Unmapped","Team key not in Teams","OK")))</f>
        <v/>
      </c>
    </row>
    <row r="131">
      <c r="A131" s="12" t="n"/>
      <c r="B131" s="12" t="n"/>
      <c r="C131" s="12" t="n"/>
      <c r="D131" s="12" t="n"/>
      <c r="E131" s="18" t="n"/>
      <c r="F131" s="13" t="n"/>
      <c r="G131" s="19">
        <f>IF(C131="","",IF(IFERROR(INDEX(Teams!$C$5:$C$104,MATCH(B131,Teams!$A$5:$A$104,0))&amp;"","")="","Unmapped",INDEX(Teams!$C$5:$C$104,MATCH(B131,Teams!$A$5:$A$104,0))))</f>
        <v/>
      </c>
      <c r="H131" s="20">
        <f>IF(C131="","",IFERROR(INDEX(Settings!$C$11:$C$25,MATCH(C131&amp;" - "&amp;D131,Settings!$D$11:$D$25,0)),0))</f>
        <v/>
      </c>
      <c r="I131" s="21">
        <f>IF(C131="","",H131*IF(E131="",1,E131/Settings!$B$4))</f>
        <v/>
      </c>
      <c r="J131" s="21">
        <f>IF(OR(C131="",C131="Claude Code"),0,IF(IFERROR(INDEX(Settings!$C$29:$C$31,MATCH(C131,Settings!$A$29:$A$31,0)),"")="",N(F131),IF(SUMIFS($F$5:$F$304,$C$5:$C$304,C131&amp;"")=0,0,N(F131)/SUMIFS($F$5:$F$304,$C$5:$C$304,C131&amp;"")*INDEX(Settings!$C$29:$C$31,MATCH(C131,Settings!$A$29:$A$31,0)))))</f>
        <v/>
      </c>
      <c r="K131" s="21">
        <f>IF(C131="","",I131+J131)</f>
        <v/>
      </c>
      <c r="L131" s="14">
        <f>IF(C131="","",IF(H131=0,IF(ISNUMBER(MATCH(C131&amp;" - "&amp;D131,Settings!$D$11:$D$25,0)),"OK","Tier not in Settings"),IF(G131="Unmapped","Team key not in Teams","OK")))</f>
        <v/>
      </c>
    </row>
    <row r="132">
      <c r="A132" s="12" t="n"/>
      <c r="B132" s="12" t="n"/>
      <c r="C132" s="12" t="n"/>
      <c r="D132" s="12" t="n"/>
      <c r="E132" s="18" t="n"/>
      <c r="F132" s="13" t="n"/>
      <c r="G132" s="19">
        <f>IF(C132="","",IF(IFERROR(INDEX(Teams!$C$5:$C$104,MATCH(B132,Teams!$A$5:$A$104,0))&amp;"","")="","Unmapped",INDEX(Teams!$C$5:$C$104,MATCH(B132,Teams!$A$5:$A$104,0))))</f>
        <v/>
      </c>
      <c r="H132" s="20">
        <f>IF(C132="","",IFERROR(INDEX(Settings!$C$11:$C$25,MATCH(C132&amp;" - "&amp;D132,Settings!$D$11:$D$25,0)),0))</f>
        <v/>
      </c>
      <c r="I132" s="21">
        <f>IF(C132="","",H132*IF(E132="",1,E132/Settings!$B$4))</f>
        <v/>
      </c>
      <c r="J132" s="21">
        <f>IF(OR(C132="",C132="Claude Code"),0,IF(IFERROR(INDEX(Settings!$C$29:$C$31,MATCH(C132,Settings!$A$29:$A$31,0)),"")="",N(F132),IF(SUMIFS($F$5:$F$304,$C$5:$C$304,C132&amp;"")=0,0,N(F132)/SUMIFS($F$5:$F$304,$C$5:$C$304,C132&amp;"")*INDEX(Settings!$C$29:$C$31,MATCH(C132,Settings!$A$29:$A$31,0)))))</f>
        <v/>
      </c>
      <c r="K132" s="21">
        <f>IF(C132="","",I132+J132)</f>
        <v/>
      </c>
      <c r="L132" s="14">
        <f>IF(C132="","",IF(H132=0,IF(ISNUMBER(MATCH(C132&amp;" - "&amp;D132,Settings!$D$11:$D$25,0)),"OK","Tier not in Settings"),IF(G132="Unmapped","Team key not in Teams","OK")))</f>
        <v/>
      </c>
    </row>
    <row r="133">
      <c r="A133" s="12" t="n"/>
      <c r="B133" s="12" t="n"/>
      <c r="C133" s="12" t="n"/>
      <c r="D133" s="12" t="n"/>
      <c r="E133" s="18" t="n"/>
      <c r="F133" s="13" t="n"/>
      <c r="G133" s="19">
        <f>IF(C133="","",IF(IFERROR(INDEX(Teams!$C$5:$C$104,MATCH(B133,Teams!$A$5:$A$104,0))&amp;"","")="","Unmapped",INDEX(Teams!$C$5:$C$104,MATCH(B133,Teams!$A$5:$A$104,0))))</f>
        <v/>
      </c>
      <c r="H133" s="20">
        <f>IF(C133="","",IFERROR(INDEX(Settings!$C$11:$C$25,MATCH(C133&amp;" - "&amp;D133,Settings!$D$11:$D$25,0)),0))</f>
        <v/>
      </c>
      <c r="I133" s="21">
        <f>IF(C133="","",H133*IF(E133="",1,E133/Settings!$B$4))</f>
        <v/>
      </c>
      <c r="J133" s="21">
        <f>IF(OR(C133="",C133="Claude Code"),0,IF(IFERROR(INDEX(Settings!$C$29:$C$31,MATCH(C133,Settings!$A$29:$A$31,0)),"")="",N(F133),IF(SUMIFS($F$5:$F$304,$C$5:$C$304,C133&amp;"")=0,0,N(F133)/SUMIFS($F$5:$F$304,$C$5:$C$304,C133&amp;"")*INDEX(Settings!$C$29:$C$31,MATCH(C133,Settings!$A$29:$A$31,0)))))</f>
        <v/>
      </c>
      <c r="K133" s="21">
        <f>IF(C133="","",I133+J133)</f>
        <v/>
      </c>
      <c r="L133" s="14">
        <f>IF(C133="","",IF(H133=0,IF(ISNUMBER(MATCH(C133&amp;" - "&amp;D133,Settings!$D$11:$D$25,0)),"OK","Tier not in Settings"),IF(G133="Unmapped","Team key not in Teams","OK")))</f>
        <v/>
      </c>
    </row>
    <row r="134">
      <c r="A134" s="12" t="n"/>
      <c r="B134" s="12" t="n"/>
      <c r="C134" s="12" t="n"/>
      <c r="D134" s="12" t="n"/>
      <c r="E134" s="18" t="n"/>
      <c r="F134" s="13" t="n"/>
      <c r="G134" s="19">
        <f>IF(C134="","",IF(IFERROR(INDEX(Teams!$C$5:$C$104,MATCH(B134,Teams!$A$5:$A$104,0))&amp;"","")="","Unmapped",INDEX(Teams!$C$5:$C$104,MATCH(B134,Teams!$A$5:$A$104,0))))</f>
        <v/>
      </c>
      <c r="H134" s="20">
        <f>IF(C134="","",IFERROR(INDEX(Settings!$C$11:$C$25,MATCH(C134&amp;" - "&amp;D134,Settings!$D$11:$D$25,0)),0))</f>
        <v/>
      </c>
      <c r="I134" s="21">
        <f>IF(C134="","",H134*IF(E134="",1,E134/Settings!$B$4))</f>
        <v/>
      </c>
      <c r="J134" s="21">
        <f>IF(OR(C134="",C134="Claude Code"),0,IF(IFERROR(INDEX(Settings!$C$29:$C$31,MATCH(C134,Settings!$A$29:$A$31,0)),"")="",N(F134),IF(SUMIFS($F$5:$F$304,$C$5:$C$304,C134&amp;"")=0,0,N(F134)/SUMIFS($F$5:$F$304,$C$5:$C$304,C134&amp;"")*INDEX(Settings!$C$29:$C$31,MATCH(C134,Settings!$A$29:$A$31,0)))))</f>
        <v/>
      </c>
      <c r="K134" s="21">
        <f>IF(C134="","",I134+J134)</f>
        <v/>
      </c>
      <c r="L134" s="14">
        <f>IF(C134="","",IF(H134=0,IF(ISNUMBER(MATCH(C134&amp;" - "&amp;D134,Settings!$D$11:$D$25,0)),"OK","Tier not in Settings"),IF(G134="Unmapped","Team key not in Teams","OK")))</f>
        <v/>
      </c>
    </row>
    <row r="135">
      <c r="A135" s="12" t="n"/>
      <c r="B135" s="12" t="n"/>
      <c r="C135" s="12" t="n"/>
      <c r="D135" s="12" t="n"/>
      <c r="E135" s="18" t="n"/>
      <c r="F135" s="13" t="n"/>
      <c r="G135" s="19">
        <f>IF(C135="","",IF(IFERROR(INDEX(Teams!$C$5:$C$104,MATCH(B135,Teams!$A$5:$A$104,0))&amp;"","")="","Unmapped",INDEX(Teams!$C$5:$C$104,MATCH(B135,Teams!$A$5:$A$104,0))))</f>
        <v/>
      </c>
      <c r="H135" s="20">
        <f>IF(C135="","",IFERROR(INDEX(Settings!$C$11:$C$25,MATCH(C135&amp;" - "&amp;D135,Settings!$D$11:$D$25,0)),0))</f>
        <v/>
      </c>
      <c r="I135" s="21">
        <f>IF(C135="","",H135*IF(E135="",1,E135/Settings!$B$4))</f>
        <v/>
      </c>
      <c r="J135" s="21">
        <f>IF(OR(C135="",C135="Claude Code"),0,IF(IFERROR(INDEX(Settings!$C$29:$C$31,MATCH(C135,Settings!$A$29:$A$31,0)),"")="",N(F135),IF(SUMIFS($F$5:$F$304,$C$5:$C$304,C135&amp;"")=0,0,N(F135)/SUMIFS($F$5:$F$304,$C$5:$C$304,C135&amp;"")*INDEX(Settings!$C$29:$C$31,MATCH(C135,Settings!$A$29:$A$31,0)))))</f>
        <v/>
      </c>
      <c r="K135" s="21">
        <f>IF(C135="","",I135+J135)</f>
        <v/>
      </c>
      <c r="L135" s="14">
        <f>IF(C135="","",IF(H135=0,IF(ISNUMBER(MATCH(C135&amp;" - "&amp;D135,Settings!$D$11:$D$25,0)),"OK","Tier not in Settings"),IF(G135="Unmapped","Team key not in Teams","OK")))</f>
        <v/>
      </c>
    </row>
    <row r="136">
      <c r="A136" s="12" t="n"/>
      <c r="B136" s="12" t="n"/>
      <c r="C136" s="12" t="n"/>
      <c r="D136" s="12" t="n"/>
      <c r="E136" s="18" t="n"/>
      <c r="F136" s="13" t="n"/>
      <c r="G136" s="19">
        <f>IF(C136="","",IF(IFERROR(INDEX(Teams!$C$5:$C$104,MATCH(B136,Teams!$A$5:$A$104,0))&amp;"","")="","Unmapped",INDEX(Teams!$C$5:$C$104,MATCH(B136,Teams!$A$5:$A$104,0))))</f>
        <v/>
      </c>
      <c r="H136" s="20">
        <f>IF(C136="","",IFERROR(INDEX(Settings!$C$11:$C$25,MATCH(C136&amp;" - "&amp;D136,Settings!$D$11:$D$25,0)),0))</f>
        <v/>
      </c>
      <c r="I136" s="21">
        <f>IF(C136="","",H136*IF(E136="",1,E136/Settings!$B$4))</f>
        <v/>
      </c>
      <c r="J136" s="21">
        <f>IF(OR(C136="",C136="Claude Code"),0,IF(IFERROR(INDEX(Settings!$C$29:$C$31,MATCH(C136,Settings!$A$29:$A$31,0)),"")="",N(F136),IF(SUMIFS($F$5:$F$304,$C$5:$C$304,C136&amp;"")=0,0,N(F136)/SUMIFS($F$5:$F$304,$C$5:$C$304,C136&amp;"")*INDEX(Settings!$C$29:$C$31,MATCH(C136,Settings!$A$29:$A$31,0)))))</f>
        <v/>
      </c>
      <c r="K136" s="21">
        <f>IF(C136="","",I136+J136)</f>
        <v/>
      </c>
      <c r="L136" s="14">
        <f>IF(C136="","",IF(H136=0,IF(ISNUMBER(MATCH(C136&amp;" - "&amp;D136,Settings!$D$11:$D$25,0)),"OK","Tier not in Settings"),IF(G136="Unmapped","Team key not in Teams","OK")))</f>
        <v/>
      </c>
    </row>
    <row r="137">
      <c r="A137" s="12" t="n"/>
      <c r="B137" s="12" t="n"/>
      <c r="C137" s="12" t="n"/>
      <c r="D137" s="12" t="n"/>
      <c r="E137" s="18" t="n"/>
      <c r="F137" s="13" t="n"/>
      <c r="G137" s="19">
        <f>IF(C137="","",IF(IFERROR(INDEX(Teams!$C$5:$C$104,MATCH(B137,Teams!$A$5:$A$104,0))&amp;"","")="","Unmapped",INDEX(Teams!$C$5:$C$104,MATCH(B137,Teams!$A$5:$A$104,0))))</f>
        <v/>
      </c>
      <c r="H137" s="20">
        <f>IF(C137="","",IFERROR(INDEX(Settings!$C$11:$C$25,MATCH(C137&amp;" - "&amp;D137,Settings!$D$11:$D$25,0)),0))</f>
        <v/>
      </c>
      <c r="I137" s="21">
        <f>IF(C137="","",H137*IF(E137="",1,E137/Settings!$B$4))</f>
        <v/>
      </c>
      <c r="J137" s="21">
        <f>IF(OR(C137="",C137="Claude Code"),0,IF(IFERROR(INDEX(Settings!$C$29:$C$31,MATCH(C137,Settings!$A$29:$A$31,0)),"")="",N(F137),IF(SUMIFS($F$5:$F$304,$C$5:$C$304,C137&amp;"")=0,0,N(F137)/SUMIFS($F$5:$F$304,$C$5:$C$304,C137&amp;"")*INDEX(Settings!$C$29:$C$31,MATCH(C137,Settings!$A$29:$A$31,0)))))</f>
        <v/>
      </c>
      <c r="K137" s="21">
        <f>IF(C137="","",I137+J137)</f>
        <v/>
      </c>
      <c r="L137" s="14">
        <f>IF(C137="","",IF(H137=0,IF(ISNUMBER(MATCH(C137&amp;" - "&amp;D137,Settings!$D$11:$D$25,0)),"OK","Tier not in Settings"),IF(G137="Unmapped","Team key not in Teams","OK")))</f>
        <v/>
      </c>
    </row>
    <row r="138">
      <c r="A138" s="12" t="n"/>
      <c r="B138" s="12" t="n"/>
      <c r="C138" s="12" t="n"/>
      <c r="D138" s="12" t="n"/>
      <c r="E138" s="18" t="n"/>
      <c r="F138" s="13" t="n"/>
      <c r="G138" s="19">
        <f>IF(C138="","",IF(IFERROR(INDEX(Teams!$C$5:$C$104,MATCH(B138,Teams!$A$5:$A$104,0))&amp;"","")="","Unmapped",INDEX(Teams!$C$5:$C$104,MATCH(B138,Teams!$A$5:$A$104,0))))</f>
        <v/>
      </c>
      <c r="H138" s="20">
        <f>IF(C138="","",IFERROR(INDEX(Settings!$C$11:$C$25,MATCH(C138&amp;" - "&amp;D138,Settings!$D$11:$D$25,0)),0))</f>
        <v/>
      </c>
      <c r="I138" s="21">
        <f>IF(C138="","",H138*IF(E138="",1,E138/Settings!$B$4))</f>
        <v/>
      </c>
      <c r="J138" s="21">
        <f>IF(OR(C138="",C138="Claude Code"),0,IF(IFERROR(INDEX(Settings!$C$29:$C$31,MATCH(C138,Settings!$A$29:$A$31,0)),"")="",N(F138),IF(SUMIFS($F$5:$F$304,$C$5:$C$304,C138&amp;"")=0,0,N(F138)/SUMIFS($F$5:$F$304,$C$5:$C$304,C138&amp;"")*INDEX(Settings!$C$29:$C$31,MATCH(C138,Settings!$A$29:$A$31,0)))))</f>
        <v/>
      </c>
      <c r="K138" s="21">
        <f>IF(C138="","",I138+J138)</f>
        <v/>
      </c>
      <c r="L138" s="14">
        <f>IF(C138="","",IF(H138=0,IF(ISNUMBER(MATCH(C138&amp;" - "&amp;D138,Settings!$D$11:$D$25,0)),"OK","Tier not in Settings"),IF(G138="Unmapped","Team key not in Teams","OK")))</f>
        <v/>
      </c>
    </row>
    <row r="139">
      <c r="A139" s="12" t="n"/>
      <c r="B139" s="12" t="n"/>
      <c r="C139" s="12" t="n"/>
      <c r="D139" s="12" t="n"/>
      <c r="E139" s="18" t="n"/>
      <c r="F139" s="13" t="n"/>
      <c r="G139" s="19">
        <f>IF(C139="","",IF(IFERROR(INDEX(Teams!$C$5:$C$104,MATCH(B139,Teams!$A$5:$A$104,0))&amp;"","")="","Unmapped",INDEX(Teams!$C$5:$C$104,MATCH(B139,Teams!$A$5:$A$104,0))))</f>
        <v/>
      </c>
      <c r="H139" s="20">
        <f>IF(C139="","",IFERROR(INDEX(Settings!$C$11:$C$25,MATCH(C139&amp;" - "&amp;D139,Settings!$D$11:$D$25,0)),0))</f>
        <v/>
      </c>
      <c r="I139" s="21">
        <f>IF(C139="","",H139*IF(E139="",1,E139/Settings!$B$4))</f>
        <v/>
      </c>
      <c r="J139" s="21">
        <f>IF(OR(C139="",C139="Claude Code"),0,IF(IFERROR(INDEX(Settings!$C$29:$C$31,MATCH(C139,Settings!$A$29:$A$31,0)),"")="",N(F139),IF(SUMIFS($F$5:$F$304,$C$5:$C$304,C139&amp;"")=0,0,N(F139)/SUMIFS($F$5:$F$304,$C$5:$C$304,C139&amp;"")*INDEX(Settings!$C$29:$C$31,MATCH(C139,Settings!$A$29:$A$31,0)))))</f>
        <v/>
      </c>
      <c r="K139" s="21">
        <f>IF(C139="","",I139+J139)</f>
        <v/>
      </c>
      <c r="L139" s="14">
        <f>IF(C139="","",IF(H139=0,IF(ISNUMBER(MATCH(C139&amp;" - "&amp;D139,Settings!$D$11:$D$25,0)),"OK","Tier not in Settings"),IF(G139="Unmapped","Team key not in Teams","OK")))</f>
        <v/>
      </c>
    </row>
    <row r="140">
      <c r="A140" s="12" t="n"/>
      <c r="B140" s="12" t="n"/>
      <c r="C140" s="12" t="n"/>
      <c r="D140" s="12" t="n"/>
      <c r="E140" s="18" t="n"/>
      <c r="F140" s="13" t="n"/>
      <c r="G140" s="19">
        <f>IF(C140="","",IF(IFERROR(INDEX(Teams!$C$5:$C$104,MATCH(B140,Teams!$A$5:$A$104,0))&amp;"","")="","Unmapped",INDEX(Teams!$C$5:$C$104,MATCH(B140,Teams!$A$5:$A$104,0))))</f>
        <v/>
      </c>
      <c r="H140" s="20">
        <f>IF(C140="","",IFERROR(INDEX(Settings!$C$11:$C$25,MATCH(C140&amp;" - "&amp;D140,Settings!$D$11:$D$25,0)),0))</f>
        <v/>
      </c>
      <c r="I140" s="21">
        <f>IF(C140="","",H140*IF(E140="",1,E140/Settings!$B$4))</f>
        <v/>
      </c>
      <c r="J140" s="21">
        <f>IF(OR(C140="",C140="Claude Code"),0,IF(IFERROR(INDEX(Settings!$C$29:$C$31,MATCH(C140,Settings!$A$29:$A$31,0)),"")="",N(F140),IF(SUMIFS($F$5:$F$304,$C$5:$C$304,C140&amp;"")=0,0,N(F140)/SUMIFS($F$5:$F$304,$C$5:$C$304,C140&amp;"")*INDEX(Settings!$C$29:$C$31,MATCH(C140,Settings!$A$29:$A$31,0)))))</f>
        <v/>
      </c>
      <c r="K140" s="21">
        <f>IF(C140="","",I140+J140)</f>
        <v/>
      </c>
      <c r="L140" s="14">
        <f>IF(C140="","",IF(H140=0,IF(ISNUMBER(MATCH(C140&amp;" - "&amp;D140,Settings!$D$11:$D$25,0)),"OK","Tier not in Settings"),IF(G140="Unmapped","Team key not in Teams","OK")))</f>
        <v/>
      </c>
    </row>
    <row r="141">
      <c r="A141" s="12" t="n"/>
      <c r="B141" s="12" t="n"/>
      <c r="C141" s="12" t="n"/>
      <c r="D141" s="12" t="n"/>
      <c r="E141" s="18" t="n"/>
      <c r="F141" s="13" t="n"/>
      <c r="G141" s="19">
        <f>IF(C141="","",IF(IFERROR(INDEX(Teams!$C$5:$C$104,MATCH(B141,Teams!$A$5:$A$104,0))&amp;"","")="","Unmapped",INDEX(Teams!$C$5:$C$104,MATCH(B141,Teams!$A$5:$A$104,0))))</f>
        <v/>
      </c>
      <c r="H141" s="20">
        <f>IF(C141="","",IFERROR(INDEX(Settings!$C$11:$C$25,MATCH(C141&amp;" - "&amp;D141,Settings!$D$11:$D$25,0)),0))</f>
        <v/>
      </c>
      <c r="I141" s="21">
        <f>IF(C141="","",H141*IF(E141="",1,E141/Settings!$B$4))</f>
        <v/>
      </c>
      <c r="J141" s="21">
        <f>IF(OR(C141="",C141="Claude Code"),0,IF(IFERROR(INDEX(Settings!$C$29:$C$31,MATCH(C141,Settings!$A$29:$A$31,0)),"")="",N(F141),IF(SUMIFS($F$5:$F$304,$C$5:$C$304,C141&amp;"")=0,0,N(F141)/SUMIFS($F$5:$F$304,$C$5:$C$304,C141&amp;"")*INDEX(Settings!$C$29:$C$31,MATCH(C141,Settings!$A$29:$A$31,0)))))</f>
        <v/>
      </c>
      <c r="K141" s="21">
        <f>IF(C141="","",I141+J141)</f>
        <v/>
      </c>
      <c r="L141" s="14">
        <f>IF(C141="","",IF(H141=0,IF(ISNUMBER(MATCH(C141&amp;" - "&amp;D141,Settings!$D$11:$D$25,0)),"OK","Tier not in Settings"),IF(G141="Unmapped","Team key not in Teams","OK")))</f>
        <v/>
      </c>
    </row>
    <row r="142">
      <c r="A142" s="12" t="n"/>
      <c r="B142" s="12" t="n"/>
      <c r="C142" s="12" t="n"/>
      <c r="D142" s="12" t="n"/>
      <c r="E142" s="18" t="n"/>
      <c r="F142" s="13" t="n"/>
      <c r="G142" s="19">
        <f>IF(C142="","",IF(IFERROR(INDEX(Teams!$C$5:$C$104,MATCH(B142,Teams!$A$5:$A$104,0))&amp;"","")="","Unmapped",INDEX(Teams!$C$5:$C$104,MATCH(B142,Teams!$A$5:$A$104,0))))</f>
        <v/>
      </c>
      <c r="H142" s="20">
        <f>IF(C142="","",IFERROR(INDEX(Settings!$C$11:$C$25,MATCH(C142&amp;" - "&amp;D142,Settings!$D$11:$D$25,0)),0))</f>
        <v/>
      </c>
      <c r="I142" s="21">
        <f>IF(C142="","",H142*IF(E142="",1,E142/Settings!$B$4))</f>
        <v/>
      </c>
      <c r="J142" s="21">
        <f>IF(OR(C142="",C142="Claude Code"),0,IF(IFERROR(INDEX(Settings!$C$29:$C$31,MATCH(C142,Settings!$A$29:$A$31,0)),"")="",N(F142),IF(SUMIFS($F$5:$F$304,$C$5:$C$304,C142&amp;"")=0,0,N(F142)/SUMIFS($F$5:$F$304,$C$5:$C$304,C142&amp;"")*INDEX(Settings!$C$29:$C$31,MATCH(C142,Settings!$A$29:$A$31,0)))))</f>
        <v/>
      </c>
      <c r="K142" s="21">
        <f>IF(C142="","",I142+J142)</f>
        <v/>
      </c>
      <c r="L142" s="14">
        <f>IF(C142="","",IF(H142=0,IF(ISNUMBER(MATCH(C142&amp;" - "&amp;D142,Settings!$D$11:$D$25,0)),"OK","Tier not in Settings"),IF(G142="Unmapped","Team key not in Teams","OK")))</f>
        <v/>
      </c>
    </row>
    <row r="143">
      <c r="A143" s="12" t="n"/>
      <c r="B143" s="12" t="n"/>
      <c r="C143" s="12" t="n"/>
      <c r="D143" s="12" t="n"/>
      <c r="E143" s="18" t="n"/>
      <c r="F143" s="13" t="n"/>
      <c r="G143" s="19">
        <f>IF(C143="","",IF(IFERROR(INDEX(Teams!$C$5:$C$104,MATCH(B143,Teams!$A$5:$A$104,0))&amp;"","")="","Unmapped",INDEX(Teams!$C$5:$C$104,MATCH(B143,Teams!$A$5:$A$104,0))))</f>
        <v/>
      </c>
      <c r="H143" s="20">
        <f>IF(C143="","",IFERROR(INDEX(Settings!$C$11:$C$25,MATCH(C143&amp;" - "&amp;D143,Settings!$D$11:$D$25,0)),0))</f>
        <v/>
      </c>
      <c r="I143" s="21">
        <f>IF(C143="","",H143*IF(E143="",1,E143/Settings!$B$4))</f>
        <v/>
      </c>
      <c r="J143" s="21">
        <f>IF(OR(C143="",C143="Claude Code"),0,IF(IFERROR(INDEX(Settings!$C$29:$C$31,MATCH(C143,Settings!$A$29:$A$31,0)),"")="",N(F143),IF(SUMIFS($F$5:$F$304,$C$5:$C$304,C143&amp;"")=0,0,N(F143)/SUMIFS($F$5:$F$304,$C$5:$C$304,C143&amp;"")*INDEX(Settings!$C$29:$C$31,MATCH(C143,Settings!$A$29:$A$31,0)))))</f>
        <v/>
      </c>
      <c r="K143" s="21">
        <f>IF(C143="","",I143+J143)</f>
        <v/>
      </c>
      <c r="L143" s="14">
        <f>IF(C143="","",IF(H143=0,IF(ISNUMBER(MATCH(C143&amp;" - "&amp;D143,Settings!$D$11:$D$25,0)),"OK","Tier not in Settings"),IF(G143="Unmapped","Team key not in Teams","OK")))</f>
        <v/>
      </c>
    </row>
    <row r="144">
      <c r="A144" s="12" t="n"/>
      <c r="B144" s="12" t="n"/>
      <c r="C144" s="12" t="n"/>
      <c r="D144" s="12" t="n"/>
      <c r="E144" s="18" t="n"/>
      <c r="F144" s="13" t="n"/>
      <c r="G144" s="19">
        <f>IF(C144="","",IF(IFERROR(INDEX(Teams!$C$5:$C$104,MATCH(B144,Teams!$A$5:$A$104,0))&amp;"","")="","Unmapped",INDEX(Teams!$C$5:$C$104,MATCH(B144,Teams!$A$5:$A$104,0))))</f>
        <v/>
      </c>
      <c r="H144" s="20">
        <f>IF(C144="","",IFERROR(INDEX(Settings!$C$11:$C$25,MATCH(C144&amp;" - "&amp;D144,Settings!$D$11:$D$25,0)),0))</f>
        <v/>
      </c>
      <c r="I144" s="21">
        <f>IF(C144="","",H144*IF(E144="",1,E144/Settings!$B$4))</f>
        <v/>
      </c>
      <c r="J144" s="21">
        <f>IF(OR(C144="",C144="Claude Code"),0,IF(IFERROR(INDEX(Settings!$C$29:$C$31,MATCH(C144,Settings!$A$29:$A$31,0)),"")="",N(F144),IF(SUMIFS($F$5:$F$304,$C$5:$C$304,C144&amp;"")=0,0,N(F144)/SUMIFS($F$5:$F$304,$C$5:$C$304,C144&amp;"")*INDEX(Settings!$C$29:$C$31,MATCH(C144,Settings!$A$29:$A$31,0)))))</f>
        <v/>
      </c>
      <c r="K144" s="21">
        <f>IF(C144="","",I144+J144)</f>
        <v/>
      </c>
      <c r="L144" s="14">
        <f>IF(C144="","",IF(H144=0,IF(ISNUMBER(MATCH(C144&amp;" - "&amp;D144,Settings!$D$11:$D$25,0)),"OK","Tier not in Settings"),IF(G144="Unmapped","Team key not in Teams","OK")))</f>
        <v/>
      </c>
    </row>
    <row r="145">
      <c r="A145" s="12" t="n"/>
      <c r="B145" s="12" t="n"/>
      <c r="C145" s="12" t="n"/>
      <c r="D145" s="12" t="n"/>
      <c r="E145" s="18" t="n"/>
      <c r="F145" s="13" t="n"/>
      <c r="G145" s="19">
        <f>IF(C145="","",IF(IFERROR(INDEX(Teams!$C$5:$C$104,MATCH(B145,Teams!$A$5:$A$104,0))&amp;"","")="","Unmapped",INDEX(Teams!$C$5:$C$104,MATCH(B145,Teams!$A$5:$A$104,0))))</f>
        <v/>
      </c>
      <c r="H145" s="20">
        <f>IF(C145="","",IFERROR(INDEX(Settings!$C$11:$C$25,MATCH(C145&amp;" - "&amp;D145,Settings!$D$11:$D$25,0)),0))</f>
        <v/>
      </c>
      <c r="I145" s="21">
        <f>IF(C145="","",H145*IF(E145="",1,E145/Settings!$B$4))</f>
        <v/>
      </c>
      <c r="J145" s="21">
        <f>IF(OR(C145="",C145="Claude Code"),0,IF(IFERROR(INDEX(Settings!$C$29:$C$31,MATCH(C145,Settings!$A$29:$A$31,0)),"")="",N(F145),IF(SUMIFS($F$5:$F$304,$C$5:$C$304,C145&amp;"")=0,0,N(F145)/SUMIFS($F$5:$F$304,$C$5:$C$304,C145&amp;"")*INDEX(Settings!$C$29:$C$31,MATCH(C145,Settings!$A$29:$A$31,0)))))</f>
        <v/>
      </c>
      <c r="K145" s="21">
        <f>IF(C145="","",I145+J145)</f>
        <v/>
      </c>
      <c r="L145" s="14">
        <f>IF(C145="","",IF(H145=0,IF(ISNUMBER(MATCH(C145&amp;" - "&amp;D145,Settings!$D$11:$D$25,0)),"OK","Tier not in Settings"),IF(G145="Unmapped","Team key not in Teams","OK")))</f>
        <v/>
      </c>
    </row>
    <row r="146">
      <c r="A146" s="12" t="n"/>
      <c r="B146" s="12" t="n"/>
      <c r="C146" s="12" t="n"/>
      <c r="D146" s="12" t="n"/>
      <c r="E146" s="18" t="n"/>
      <c r="F146" s="13" t="n"/>
      <c r="G146" s="19">
        <f>IF(C146="","",IF(IFERROR(INDEX(Teams!$C$5:$C$104,MATCH(B146,Teams!$A$5:$A$104,0))&amp;"","")="","Unmapped",INDEX(Teams!$C$5:$C$104,MATCH(B146,Teams!$A$5:$A$104,0))))</f>
        <v/>
      </c>
      <c r="H146" s="20">
        <f>IF(C146="","",IFERROR(INDEX(Settings!$C$11:$C$25,MATCH(C146&amp;" - "&amp;D146,Settings!$D$11:$D$25,0)),0))</f>
        <v/>
      </c>
      <c r="I146" s="21">
        <f>IF(C146="","",H146*IF(E146="",1,E146/Settings!$B$4))</f>
        <v/>
      </c>
      <c r="J146" s="21">
        <f>IF(OR(C146="",C146="Claude Code"),0,IF(IFERROR(INDEX(Settings!$C$29:$C$31,MATCH(C146,Settings!$A$29:$A$31,0)),"")="",N(F146),IF(SUMIFS($F$5:$F$304,$C$5:$C$304,C146&amp;"")=0,0,N(F146)/SUMIFS($F$5:$F$304,$C$5:$C$304,C146&amp;"")*INDEX(Settings!$C$29:$C$31,MATCH(C146,Settings!$A$29:$A$31,0)))))</f>
        <v/>
      </c>
      <c r="K146" s="21">
        <f>IF(C146="","",I146+J146)</f>
        <v/>
      </c>
      <c r="L146" s="14">
        <f>IF(C146="","",IF(H146=0,IF(ISNUMBER(MATCH(C146&amp;" - "&amp;D146,Settings!$D$11:$D$25,0)),"OK","Tier not in Settings"),IF(G146="Unmapped","Team key not in Teams","OK")))</f>
        <v/>
      </c>
    </row>
    <row r="147">
      <c r="A147" s="12" t="n"/>
      <c r="B147" s="12" t="n"/>
      <c r="C147" s="12" t="n"/>
      <c r="D147" s="12" t="n"/>
      <c r="E147" s="18" t="n"/>
      <c r="F147" s="13" t="n"/>
      <c r="G147" s="19">
        <f>IF(C147="","",IF(IFERROR(INDEX(Teams!$C$5:$C$104,MATCH(B147,Teams!$A$5:$A$104,0))&amp;"","")="","Unmapped",INDEX(Teams!$C$5:$C$104,MATCH(B147,Teams!$A$5:$A$104,0))))</f>
        <v/>
      </c>
      <c r="H147" s="20">
        <f>IF(C147="","",IFERROR(INDEX(Settings!$C$11:$C$25,MATCH(C147&amp;" - "&amp;D147,Settings!$D$11:$D$25,0)),0))</f>
        <v/>
      </c>
      <c r="I147" s="21">
        <f>IF(C147="","",H147*IF(E147="",1,E147/Settings!$B$4))</f>
        <v/>
      </c>
      <c r="J147" s="21">
        <f>IF(OR(C147="",C147="Claude Code"),0,IF(IFERROR(INDEX(Settings!$C$29:$C$31,MATCH(C147,Settings!$A$29:$A$31,0)),"")="",N(F147),IF(SUMIFS($F$5:$F$304,$C$5:$C$304,C147&amp;"")=0,0,N(F147)/SUMIFS($F$5:$F$304,$C$5:$C$304,C147&amp;"")*INDEX(Settings!$C$29:$C$31,MATCH(C147,Settings!$A$29:$A$31,0)))))</f>
        <v/>
      </c>
      <c r="K147" s="21">
        <f>IF(C147="","",I147+J147)</f>
        <v/>
      </c>
      <c r="L147" s="14">
        <f>IF(C147="","",IF(H147=0,IF(ISNUMBER(MATCH(C147&amp;" - "&amp;D147,Settings!$D$11:$D$25,0)),"OK","Tier not in Settings"),IF(G147="Unmapped","Team key not in Teams","OK")))</f>
        <v/>
      </c>
    </row>
    <row r="148">
      <c r="A148" s="12" t="n"/>
      <c r="B148" s="12" t="n"/>
      <c r="C148" s="12" t="n"/>
      <c r="D148" s="12" t="n"/>
      <c r="E148" s="18" t="n"/>
      <c r="F148" s="13" t="n"/>
      <c r="G148" s="19">
        <f>IF(C148="","",IF(IFERROR(INDEX(Teams!$C$5:$C$104,MATCH(B148,Teams!$A$5:$A$104,0))&amp;"","")="","Unmapped",INDEX(Teams!$C$5:$C$104,MATCH(B148,Teams!$A$5:$A$104,0))))</f>
        <v/>
      </c>
      <c r="H148" s="20">
        <f>IF(C148="","",IFERROR(INDEX(Settings!$C$11:$C$25,MATCH(C148&amp;" - "&amp;D148,Settings!$D$11:$D$25,0)),0))</f>
        <v/>
      </c>
      <c r="I148" s="21">
        <f>IF(C148="","",H148*IF(E148="",1,E148/Settings!$B$4))</f>
        <v/>
      </c>
      <c r="J148" s="21">
        <f>IF(OR(C148="",C148="Claude Code"),0,IF(IFERROR(INDEX(Settings!$C$29:$C$31,MATCH(C148,Settings!$A$29:$A$31,0)),"")="",N(F148),IF(SUMIFS($F$5:$F$304,$C$5:$C$304,C148&amp;"")=0,0,N(F148)/SUMIFS($F$5:$F$304,$C$5:$C$304,C148&amp;"")*INDEX(Settings!$C$29:$C$31,MATCH(C148,Settings!$A$29:$A$31,0)))))</f>
        <v/>
      </c>
      <c r="K148" s="21">
        <f>IF(C148="","",I148+J148)</f>
        <v/>
      </c>
      <c r="L148" s="14">
        <f>IF(C148="","",IF(H148=0,IF(ISNUMBER(MATCH(C148&amp;" - "&amp;D148,Settings!$D$11:$D$25,0)),"OK","Tier not in Settings"),IF(G148="Unmapped","Team key not in Teams","OK")))</f>
        <v/>
      </c>
    </row>
    <row r="149">
      <c r="A149" s="12" t="n"/>
      <c r="B149" s="12" t="n"/>
      <c r="C149" s="12" t="n"/>
      <c r="D149" s="12" t="n"/>
      <c r="E149" s="18" t="n"/>
      <c r="F149" s="13" t="n"/>
      <c r="G149" s="19">
        <f>IF(C149="","",IF(IFERROR(INDEX(Teams!$C$5:$C$104,MATCH(B149,Teams!$A$5:$A$104,0))&amp;"","")="","Unmapped",INDEX(Teams!$C$5:$C$104,MATCH(B149,Teams!$A$5:$A$104,0))))</f>
        <v/>
      </c>
      <c r="H149" s="20">
        <f>IF(C149="","",IFERROR(INDEX(Settings!$C$11:$C$25,MATCH(C149&amp;" - "&amp;D149,Settings!$D$11:$D$25,0)),0))</f>
        <v/>
      </c>
      <c r="I149" s="21">
        <f>IF(C149="","",H149*IF(E149="",1,E149/Settings!$B$4))</f>
        <v/>
      </c>
      <c r="J149" s="21">
        <f>IF(OR(C149="",C149="Claude Code"),0,IF(IFERROR(INDEX(Settings!$C$29:$C$31,MATCH(C149,Settings!$A$29:$A$31,0)),"")="",N(F149),IF(SUMIFS($F$5:$F$304,$C$5:$C$304,C149&amp;"")=0,0,N(F149)/SUMIFS($F$5:$F$304,$C$5:$C$304,C149&amp;"")*INDEX(Settings!$C$29:$C$31,MATCH(C149,Settings!$A$29:$A$31,0)))))</f>
        <v/>
      </c>
      <c r="K149" s="21">
        <f>IF(C149="","",I149+J149)</f>
        <v/>
      </c>
      <c r="L149" s="14">
        <f>IF(C149="","",IF(H149=0,IF(ISNUMBER(MATCH(C149&amp;" - "&amp;D149,Settings!$D$11:$D$25,0)),"OK","Tier not in Settings"),IF(G149="Unmapped","Team key not in Teams","OK")))</f>
        <v/>
      </c>
    </row>
    <row r="150">
      <c r="A150" s="12" t="n"/>
      <c r="B150" s="12" t="n"/>
      <c r="C150" s="12" t="n"/>
      <c r="D150" s="12" t="n"/>
      <c r="E150" s="18" t="n"/>
      <c r="F150" s="13" t="n"/>
      <c r="G150" s="19">
        <f>IF(C150="","",IF(IFERROR(INDEX(Teams!$C$5:$C$104,MATCH(B150,Teams!$A$5:$A$104,0))&amp;"","")="","Unmapped",INDEX(Teams!$C$5:$C$104,MATCH(B150,Teams!$A$5:$A$104,0))))</f>
        <v/>
      </c>
      <c r="H150" s="20">
        <f>IF(C150="","",IFERROR(INDEX(Settings!$C$11:$C$25,MATCH(C150&amp;" - "&amp;D150,Settings!$D$11:$D$25,0)),0))</f>
        <v/>
      </c>
      <c r="I150" s="21">
        <f>IF(C150="","",H150*IF(E150="",1,E150/Settings!$B$4))</f>
        <v/>
      </c>
      <c r="J150" s="21">
        <f>IF(OR(C150="",C150="Claude Code"),0,IF(IFERROR(INDEX(Settings!$C$29:$C$31,MATCH(C150,Settings!$A$29:$A$31,0)),"")="",N(F150),IF(SUMIFS($F$5:$F$304,$C$5:$C$304,C150&amp;"")=0,0,N(F150)/SUMIFS($F$5:$F$304,$C$5:$C$304,C150&amp;"")*INDEX(Settings!$C$29:$C$31,MATCH(C150,Settings!$A$29:$A$31,0)))))</f>
        <v/>
      </c>
      <c r="K150" s="21">
        <f>IF(C150="","",I150+J150)</f>
        <v/>
      </c>
      <c r="L150" s="14">
        <f>IF(C150="","",IF(H150=0,IF(ISNUMBER(MATCH(C150&amp;" - "&amp;D150,Settings!$D$11:$D$25,0)),"OK","Tier not in Settings"),IF(G150="Unmapped","Team key not in Teams","OK")))</f>
        <v/>
      </c>
    </row>
    <row r="151">
      <c r="A151" s="12" t="n"/>
      <c r="B151" s="12" t="n"/>
      <c r="C151" s="12" t="n"/>
      <c r="D151" s="12" t="n"/>
      <c r="E151" s="18" t="n"/>
      <c r="F151" s="13" t="n"/>
      <c r="G151" s="19">
        <f>IF(C151="","",IF(IFERROR(INDEX(Teams!$C$5:$C$104,MATCH(B151,Teams!$A$5:$A$104,0))&amp;"","")="","Unmapped",INDEX(Teams!$C$5:$C$104,MATCH(B151,Teams!$A$5:$A$104,0))))</f>
        <v/>
      </c>
      <c r="H151" s="20">
        <f>IF(C151="","",IFERROR(INDEX(Settings!$C$11:$C$25,MATCH(C151&amp;" - "&amp;D151,Settings!$D$11:$D$25,0)),0))</f>
        <v/>
      </c>
      <c r="I151" s="21">
        <f>IF(C151="","",H151*IF(E151="",1,E151/Settings!$B$4))</f>
        <v/>
      </c>
      <c r="J151" s="21">
        <f>IF(OR(C151="",C151="Claude Code"),0,IF(IFERROR(INDEX(Settings!$C$29:$C$31,MATCH(C151,Settings!$A$29:$A$31,0)),"")="",N(F151),IF(SUMIFS($F$5:$F$304,$C$5:$C$304,C151&amp;"")=0,0,N(F151)/SUMIFS($F$5:$F$304,$C$5:$C$304,C151&amp;"")*INDEX(Settings!$C$29:$C$31,MATCH(C151,Settings!$A$29:$A$31,0)))))</f>
        <v/>
      </c>
      <c r="K151" s="21">
        <f>IF(C151="","",I151+J151)</f>
        <v/>
      </c>
      <c r="L151" s="14">
        <f>IF(C151="","",IF(H151=0,IF(ISNUMBER(MATCH(C151&amp;" - "&amp;D151,Settings!$D$11:$D$25,0)),"OK","Tier not in Settings"),IF(G151="Unmapped","Team key not in Teams","OK")))</f>
        <v/>
      </c>
    </row>
    <row r="152">
      <c r="A152" s="12" t="n"/>
      <c r="B152" s="12" t="n"/>
      <c r="C152" s="12" t="n"/>
      <c r="D152" s="12" t="n"/>
      <c r="E152" s="18" t="n"/>
      <c r="F152" s="13" t="n"/>
      <c r="G152" s="19">
        <f>IF(C152="","",IF(IFERROR(INDEX(Teams!$C$5:$C$104,MATCH(B152,Teams!$A$5:$A$104,0))&amp;"","")="","Unmapped",INDEX(Teams!$C$5:$C$104,MATCH(B152,Teams!$A$5:$A$104,0))))</f>
        <v/>
      </c>
      <c r="H152" s="20">
        <f>IF(C152="","",IFERROR(INDEX(Settings!$C$11:$C$25,MATCH(C152&amp;" - "&amp;D152,Settings!$D$11:$D$25,0)),0))</f>
        <v/>
      </c>
      <c r="I152" s="21">
        <f>IF(C152="","",H152*IF(E152="",1,E152/Settings!$B$4))</f>
        <v/>
      </c>
      <c r="J152" s="21">
        <f>IF(OR(C152="",C152="Claude Code"),0,IF(IFERROR(INDEX(Settings!$C$29:$C$31,MATCH(C152,Settings!$A$29:$A$31,0)),"")="",N(F152),IF(SUMIFS($F$5:$F$304,$C$5:$C$304,C152&amp;"")=0,0,N(F152)/SUMIFS($F$5:$F$304,$C$5:$C$304,C152&amp;"")*INDEX(Settings!$C$29:$C$31,MATCH(C152,Settings!$A$29:$A$31,0)))))</f>
        <v/>
      </c>
      <c r="K152" s="21">
        <f>IF(C152="","",I152+J152)</f>
        <v/>
      </c>
      <c r="L152" s="14">
        <f>IF(C152="","",IF(H152=0,IF(ISNUMBER(MATCH(C152&amp;" - "&amp;D152,Settings!$D$11:$D$25,0)),"OK","Tier not in Settings"),IF(G152="Unmapped","Team key not in Teams","OK")))</f>
        <v/>
      </c>
    </row>
    <row r="153">
      <c r="A153" s="12" t="n"/>
      <c r="B153" s="12" t="n"/>
      <c r="C153" s="12" t="n"/>
      <c r="D153" s="12" t="n"/>
      <c r="E153" s="18" t="n"/>
      <c r="F153" s="13" t="n"/>
      <c r="G153" s="19">
        <f>IF(C153="","",IF(IFERROR(INDEX(Teams!$C$5:$C$104,MATCH(B153,Teams!$A$5:$A$104,0))&amp;"","")="","Unmapped",INDEX(Teams!$C$5:$C$104,MATCH(B153,Teams!$A$5:$A$104,0))))</f>
        <v/>
      </c>
      <c r="H153" s="20">
        <f>IF(C153="","",IFERROR(INDEX(Settings!$C$11:$C$25,MATCH(C153&amp;" - "&amp;D153,Settings!$D$11:$D$25,0)),0))</f>
        <v/>
      </c>
      <c r="I153" s="21">
        <f>IF(C153="","",H153*IF(E153="",1,E153/Settings!$B$4))</f>
        <v/>
      </c>
      <c r="J153" s="21">
        <f>IF(OR(C153="",C153="Claude Code"),0,IF(IFERROR(INDEX(Settings!$C$29:$C$31,MATCH(C153,Settings!$A$29:$A$31,0)),"")="",N(F153),IF(SUMIFS($F$5:$F$304,$C$5:$C$304,C153&amp;"")=0,0,N(F153)/SUMIFS($F$5:$F$304,$C$5:$C$304,C153&amp;"")*INDEX(Settings!$C$29:$C$31,MATCH(C153,Settings!$A$29:$A$31,0)))))</f>
        <v/>
      </c>
      <c r="K153" s="21">
        <f>IF(C153="","",I153+J153)</f>
        <v/>
      </c>
      <c r="L153" s="14">
        <f>IF(C153="","",IF(H153=0,IF(ISNUMBER(MATCH(C153&amp;" - "&amp;D153,Settings!$D$11:$D$25,0)),"OK","Tier not in Settings"),IF(G153="Unmapped","Team key not in Teams","OK")))</f>
        <v/>
      </c>
    </row>
    <row r="154">
      <c r="A154" s="12" t="n"/>
      <c r="B154" s="12" t="n"/>
      <c r="C154" s="12" t="n"/>
      <c r="D154" s="12" t="n"/>
      <c r="E154" s="18" t="n"/>
      <c r="F154" s="13" t="n"/>
      <c r="G154" s="19">
        <f>IF(C154="","",IF(IFERROR(INDEX(Teams!$C$5:$C$104,MATCH(B154,Teams!$A$5:$A$104,0))&amp;"","")="","Unmapped",INDEX(Teams!$C$5:$C$104,MATCH(B154,Teams!$A$5:$A$104,0))))</f>
        <v/>
      </c>
      <c r="H154" s="20">
        <f>IF(C154="","",IFERROR(INDEX(Settings!$C$11:$C$25,MATCH(C154&amp;" - "&amp;D154,Settings!$D$11:$D$25,0)),0))</f>
        <v/>
      </c>
      <c r="I154" s="21">
        <f>IF(C154="","",H154*IF(E154="",1,E154/Settings!$B$4))</f>
        <v/>
      </c>
      <c r="J154" s="21">
        <f>IF(OR(C154="",C154="Claude Code"),0,IF(IFERROR(INDEX(Settings!$C$29:$C$31,MATCH(C154,Settings!$A$29:$A$31,0)),"")="",N(F154),IF(SUMIFS($F$5:$F$304,$C$5:$C$304,C154&amp;"")=0,0,N(F154)/SUMIFS($F$5:$F$304,$C$5:$C$304,C154&amp;"")*INDEX(Settings!$C$29:$C$31,MATCH(C154,Settings!$A$29:$A$31,0)))))</f>
        <v/>
      </c>
      <c r="K154" s="21">
        <f>IF(C154="","",I154+J154)</f>
        <v/>
      </c>
      <c r="L154" s="14">
        <f>IF(C154="","",IF(H154=0,IF(ISNUMBER(MATCH(C154&amp;" - "&amp;D154,Settings!$D$11:$D$25,0)),"OK","Tier not in Settings"),IF(G154="Unmapped","Team key not in Teams","OK")))</f>
        <v/>
      </c>
    </row>
    <row r="155">
      <c r="A155" s="12" t="n"/>
      <c r="B155" s="12" t="n"/>
      <c r="C155" s="12" t="n"/>
      <c r="D155" s="12" t="n"/>
      <c r="E155" s="18" t="n"/>
      <c r="F155" s="13" t="n"/>
      <c r="G155" s="19">
        <f>IF(C155="","",IF(IFERROR(INDEX(Teams!$C$5:$C$104,MATCH(B155,Teams!$A$5:$A$104,0))&amp;"","")="","Unmapped",INDEX(Teams!$C$5:$C$104,MATCH(B155,Teams!$A$5:$A$104,0))))</f>
        <v/>
      </c>
      <c r="H155" s="20">
        <f>IF(C155="","",IFERROR(INDEX(Settings!$C$11:$C$25,MATCH(C155&amp;" - "&amp;D155,Settings!$D$11:$D$25,0)),0))</f>
        <v/>
      </c>
      <c r="I155" s="21">
        <f>IF(C155="","",H155*IF(E155="",1,E155/Settings!$B$4))</f>
        <v/>
      </c>
      <c r="J155" s="21">
        <f>IF(OR(C155="",C155="Claude Code"),0,IF(IFERROR(INDEX(Settings!$C$29:$C$31,MATCH(C155,Settings!$A$29:$A$31,0)),"")="",N(F155),IF(SUMIFS($F$5:$F$304,$C$5:$C$304,C155&amp;"")=0,0,N(F155)/SUMIFS($F$5:$F$304,$C$5:$C$304,C155&amp;"")*INDEX(Settings!$C$29:$C$31,MATCH(C155,Settings!$A$29:$A$31,0)))))</f>
        <v/>
      </c>
      <c r="K155" s="21">
        <f>IF(C155="","",I155+J155)</f>
        <v/>
      </c>
      <c r="L155" s="14">
        <f>IF(C155="","",IF(H155=0,IF(ISNUMBER(MATCH(C155&amp;" - "&amp;D155,Settings!$D$11:$D$25,0)),"OK","Tier not in Settings"),IF(G155="Unmapped","Team key not in Teams","OK")))</f>
        <v/>
      </c>
    </row>
    <row r="156">
      <c r="A156" s="12" t="n"/>
      <c r="B156" s="12" t="n"/>
      <c r="C156" s="12" t="n"/>
      <c r="D156" s="12" t="n"/>
      <c r="E156" s="18" t="n"/>
      <c r="F156" s="13" t="n"/>
      <c r="G156" s="19">
        <f>IF(C156="","",IF(IFERROR(INDEX(Teams!$C$5:$C$104,MATCH(B156,Teams!$A$5:$A$104,0))&amp;"","")="","Unmapped",INDEX(Teams!$C$5:$C$104,MATCH(B156,Teams!$A$5:$A$104,0))))</f>
        <v/>
      </c>
      <c r="H156" s="20">
        <f>IF(C156="","",IFERROR(INDEX(Settings!$C$11:$C$25,MATCH(C156&amp;" - "&amp;D156,Settings!$D$11:$D$25,0)),0))</f>
        <v/>
      </c>
      <c r="I156" s="21">
        <f>IF(C156="","",H156*IF(E156="",1,E156/Settings!$B$4))</f>
        <v/>
      </c>
      <c r="J156" s="21">
        <f>IF(OR(C156="",C156="Claude Code"),0,IF(IFERROR(INDEX(Settings!$C$29:$C$31,MATCH(C156,Settings!$A$29:$A$31,0)),"")="",N(F156),IF(SUMIFS($F$5:$F$304,$C$5:$C$304,C156&amp;"")=0,0,N(F156)/SUMIFS($F$5:$F$304,$C$5:$C$304,C156&amp;"")*INDEX(Settings!$C$29:$C$31,MATCH(C156,Settings!$A$29:$A$31,0)))))</f>
        <v/>
      </c>
      <c r="K156" s="21">
        <f>IF(C156="","",I156+J156)</f>
        <v/>
      </c>
      <c r="L156" s="14">
        <f>IF(C156="","",IF(H156=0,IF(ISNUMBER(MATCH(C156&amp;" - "&amp;D156,Settings!$D$11:$D$25,0)),"OK","Tier not in Settings"),IF(G156="Unmapped","Team key not in Teams","OK")))</f>
        <v/>
      </c>
    </row>
    <row r="157">
      <c r="A157" s="12" t="n"/>
      <c r="B157" s="12" t="n"/>
      <c r="C157" s="12" t="n"/>
      <c r="D157" s="12" t="n"/>
      <c r="E157" s="18" t="n"/>
      <c r="F157" s="13" t="n"/>
      <c r="G157" s="19">
        <f>IF(C157="","",IF(IFERROR(INDEX(Teams!$C$5:$C$104,MATCH(B157,Teams!$A$5:$A$104,0))&amp;"","")="","Unmapped",INDEX(Teams!$C$5:$C$104,MATCH(B157,Teams!$A$5:$A$104,0))))</f>
        <v/>
      </c>
      <c r="H157" s="20">
        <f>IF(C157="","",IFERROR(INDEX(Settings!$C$11:$C$25,MATCH(C157&amp;" - "&amp;D157,Settings!$D$11:$D$25,0)),0))</f>
        <v/>
      </c>
      <c r="I157" s="21">
        <f>IF(C157="","",H157*IF(E157="",1,E157/Settings!$B$4))</f>
        <v/>
      </c>
      <c r="J157" s="21">
        <f>IF(OR(C157="",C157="Claude Code"),0,IF(IFERROR(INDEX(Settings!$C$29:$C$31,MATCH(C157,Settings!$A$29:$A$31,0)),"")="",N(F157),IF(SUMIFS($F$5:$F$304,$C$5:$C$304,C157&amp;"")=0,0,N(F157)/SUMIFS($F$5:$F$304,$C$5:$C$304,C157&amp;"")*INDEX(Settings!$C$29:$C$31,MATCH(C157,Settings!$A$29:$A$31,0)))))</f>
        <v/>
      </c>
      <c r="K157" s="21">
        <f>IF(C157="","",I157+J157)</f>
        <v/>
      </c>
      <c r="L157" s="14">
        <f>IF(C157="","",IF(H157=0,IF(ISNUMBER(MATCH(C157&amp;" - "&amp;D157,Settings!$D$11:$D$25,0)),"OK","Tier not in Settings"),IF(G157="Unmapped","Team key not in Teams","OK")))</f>
        <v/>
      </c>
    </row>
    <row r="158">
      <c r="A158" s="12" t="n"/>
      <c r="B158" s="12" t="n"/>
      <c r="C158" s="12" t="n"/>
      <c r="D158" s="12" t="n"/>
      <c r="E158" s="18" t="n"/>
      <c r="F158" s="13" t="n"/>
      <c r="G158" s="19">
        <f>IF(C158="","",IF(IFERROR(INDEX(Teams!$C$5:$C$104,MATCH(B158,Teams!$A$5:$A$104,0))&amp;"","")="","Unmapped",INDEX(Teams!$C$5:$C$104,MATCH(B158,Teams!$A$5:$A$104,0))))</f>
        <v/>
      </c>
      <c r="H158" s="20">
        <f>IF(C158="","",IFERROR(INDEX(Settings!$C$11:$C$25,MATCH(C158&amp;" - "&amp;D158,Settings!$D$11:$D$25,0)),0))</f>
        <v/>
      </c>
      <c r="I158" s="21">
        <f>IF(C158="","",H158*IF(E158="",1,E158/Settings!$B$4))</f>
        <v/>
      </c>
      <c r="J158" s="21">
        <f>IF(OR(C158="",C158="Claude Code"),0,IF(IFERROR(INDEX(Settings!$C$29:$C$31,MATCH(C158,Settings!$A$29:$A$31,0)),"")="",N(F158),IF(SUMIFS($F$5:$F$304,$C$5:$C$304,C158&amp;"")=0,0,N(F158)/SUMIFS($F$5:$F$304,$C$5:$C$304,C158&amp;"")*INDEX(Settings!$C$29:$C$31,MATCH(C158,Settings!$A$29:$A$31,0)))))</f>
        <v/>
      </c>
      <c r="K158" s="21">
        <f>IF(C158="","",I158+J158)</f>
        <v/>
      </c>
      <c r="L158" s="14">
        <f>IF(C158="","",IF(H158=0,IF(ISNUMBER(MATCH(C158&amp;" - "&amp;D158,Settings!$D$11:$D$25,0)),"OK","Tier not in Settings"),IF(G158="Unmapped","Team key not in Teams","OK")))</f>
        <v/>
      </c>
    </row>
    <row r="159">
      <c r="A159" s="12" t="n"/>
      <c r="B159" s="12" t="n"/>
      <c r="C159" s="12" t="n"/>
      <c r="D159" s="12" t="n"/>
      <c r="E159" s="18" t="n"/>
      <c r="F159" s="13" t="n"/>
      <c r="G159" s="19">
        <f>IF(C159="","",IF(IFERROR(INDEX(Teams!$C$5:$C$104,MATCH(B159,Teams!$A$5:$A$104,0))&amp;"","")="","Unmapped",INDEX(Teams!$C$5:$C$104,MATCH(B159,Teams!$A$5:$A$104,0))))</f>
        <v/>
      </c>
      <c r="H159" s="20">
        <f>IF(C159="","",IFERROR(INDEX(Settings!$C$11:$C$25,MATCH(C159&amp;" - "&amp;D159,Settings!$D$11:$D$25,0)),0))</f>
        <v/>
      </c>
      <c r="I159" s="21">
        <f>IF(C159="","",H159*IF(E159="",1,E159/Settings!$B$4))</f>
        <v/>
      </c>
      <c r="J159" s="21">
        <f>IF(OR(C159="",C159="Claude Code"),0,IF(IFERROR(INDEX(Settings!$C$29:$C$31,MATCH(C159,Settings!$A$29:$A$31,0)),"")="",N(F159),IF(SUMIFS($F$5:$F$304,$C$5:$C$304,C159&amp;"")=0,0,N(F159)/SUMIFS($F$5:$F$304,$C$5:$C$304,C159&amp;"")*INDEX(Settings!$C$29:$C$31,MATCH(C159,Settings!$A$29:$A$31,0)))))</f>
        <v/>
      </c>
      <c r="K159" s="21">
        <f>IF(C159="","",I159+J159)</f>
        <v/>
      </c>
      <c r="L159" s="14">
        <f>IF(C159="","",IF(H159=0,IF(ISNUMBER(MATCH(C159&amp;" - "&amp;D159,Settings!$D$11:$D$25,0)),"OK","Tier not in Settings"),IF(G159="Unmapped","Team key not in Teams","OK")))</f>
        <v/>
      </c>
    </row>
    <row r="160">
      <c r="A160" s="12" t="n"/>
      <c r="B160" s="12" t="n"/>
      <c r="C160" s="12" t="n"/>
      <c r="D160" s="12" t="n"/>
      <c r="E160" s="18" t="n"/>
      <c r="F160" s="13" t="n"/>
      <c r="G160" s="19">
        <f>IF(C160="","",IF(IFERROR(INDEX(Teams!$C$5:$C$104,MATCH(B160,Teams!$A$5:$A$104,0))&amp;"","")="","Unmapped",INDEX(Teams!$C$5:$C$104,MATCH(B160,Teams!$A$5:$A$104,0))))</f>
        <v/>
      </c>
      <c r="H160" s="20">
        <f>IF(C160="","",IFERROR(INDEX(Settings!$C$11:$C$25,MATCH(C160&amp;" - "&amp;D160,Settings!$D$11:$D$25,0)),0))</f>
        <v/>
      </c>
      <c r="I160" s="21">
        <f>IF(C160="","",H160*IF(E160="",1,E160/Settings!$B$4))</f>
        <v/>
      </c>
      <c r="J160" s="21">
        <f>IF(OR(C160="",C160="Claude Code"),0,IF(IFERROR(INDEX(Settings!$C$29:$C$31,MATCH(C160,Settings!$A$29:$A$31,0)),"")="",N(F160),IF(SUMIFS($F$5:$F$304,$C$5:$C$304,C160&amp;"")=0,0,N(F160)/SUMIFS($F$5:$F$304,$C$5:$C$304,C160&amp;"")*INDEX(Settings!$C$29:$C$31,MATCH(C160,Settings!$A$29:$A$31,0)))))</f>
        <v/>
      </c>
      <c r="K160" s="21">
        <f>IF(C160="","",I160+J160)</f>
        <v/>
      </c>
      <c r="L160" s="14">
        <f>IF(C160="","",IF(H160=0,IF(ISNUMBER(MATCH(C160&amp;" - "&amp;D160,Settings!$D$11:$D$25,0)),"OK","Tier not in Settings"),IF(G160="Unmapped","Team key not in Teams","OK")))</f>
        <v/>
      </c>
    </row>
    <row r="161">
      <c r="A161" s="12" t="n"/>
      <c r="B161" s="12" t="n"/>
      <c r="C161" s="12" t="n"/>
      <c r="D161" s="12" t="n"/>
      <c r="E161" s="18" t="n"/>
      <c r="F161" s="13" t="n"/>
      <c r="G161" s="19">
        <f>IF(C161="","",IF(IFERROR(INDEX(Teams!$C$5:$C$104,MATCH(B161,Teams!$A$5:$A$104,0))&amp;"","")="","Unmapped",INDEX(Teams!$C$5:$C$104,MATCH(B161,Teams!$A$5:$A$104,0))))</f>
        <v/>
      </c>
      <c r="H161" s="20">
        <f>IF(C161="","",IFERROR(INDEX(Settings!$C$11:$C$25,MATCH(C161&amp;" - "&amp;D161,Settings!$D$11:$D$25,0)),0))</f>
        <v/>
      </c>
      <c r="I161" s="21">
        <f>IF(C161="","",H161*IF(E161="",1,E161/Settings!$B$4))</f>
        <v/>
      </c>
      <c r="J161" s="21">
        <f>IF(OR(C161="",C161="Claude Code"),0,IF(IFERROR(INDEX(Settings!$C$29:$C$31,MATCH(C161,Settings!$A$29:$A$31,0)),"")="",N(F161),IF(SUMIFS($F$5:$F$304,$C$5:$C$304,C161&amp;"")=0,0,N(F161)/SUMIFS($F$5:$F$304,$C$5:$C$304,C161&amp;"")*INDEX(Settings!$C$29:$C$31,MATCH(C161,Settings!$A$29:$A$31,0)))))</f>
        <v/>
      </c>
      <c r="K161" s="21">
        <f>IF(C161="","",I161+J161)</f>
        <v/>
      </c>
      <c r="L161" s="14">
        <f>IF(C161="","",IF(H161=0,IF(ISNUMBER(MATCH(C161&amp;" - "&amp;D161,Settings!$D$11:$D$25,0)),"OK","Tier not in Settings"),IF(G161="Unmapped","Team key not in Teams","OK")))</f>
        <v/>
      </c>
    </row>
    <row r="162">
      <c r="A162" s="12" t="n"/>
      <c r="B162" s="12" t="n"/>
      <c r="C162" s="12" t="n"/>
      <c r="D162" s="12" t="n"/>
      <c r="E162" s="18" t="n"/>
      <c r="F162" s="13" t="n"/>
      <c r="G162" s="19">
        <f>IF(C162="","",IF(IFERROR(INDEX(Teams!$C$5:$C$104,MATCH(B162,Teams!$A$5:$A$104,0))&amp;"","")="","Unmapped",INDEX(Teams!$C$5:$C$104,MATCH(B162,Teams!$A$5:$A$104,0))))</f>
        <v/>
      </c>
      <c r="H162" s="20">
        <f>IF(C162="","",IFERROR(INDEX(Settings!$C$11:$C$25,MATCH(C162&amp;" - "&amp;D162,Settings!$D$11:$D$25,0)),0))</f>
        <v/>
      </c>
      <c r="I162" s="21">
        <f>IF(C162="","",H162*IF(E162="",1,E162/Settings!$B$4))</f>
        <v/>
      </c>
      <c r="J162" s="21">
        <f>IF(OR(C162="",C162="Claude Code"),0,IF(IFERROR(INDEX(Settings!$C$29:$C$31,MATCH(C162,Settings!$A$29:$A$31,0)),"")="",N(F162),IF(SUMIFS($F$5:$F$304,$C$5:$C$304,C162&amp;"")=0,0,N(F162)/SUMIFS($F$5:$F$304,$C$5:$C$304,C162&amp;"")*INDEX(Settings!$C$29:$C$31,MATCH(C162,Settings!$A$29:$A$31,0)))))</f>
        <v/>
      </c>
      <c r="K162" s="21">
        <f>IF(C162="","",I162+J162)</f>
        <v/>
      </c>
      <c r="L162" s="14">
        <f>IF(C162="","",IF(H162=0,IF(ISNUMBER(MATCH(C162&amp;" - "&amp;D162,Settings!$D$11:$D$25,0)),"OK","Tier not in Settings"),IF(G162="Unmapped","Team key not in Teams","OK")))</f>
        <v/>
      </c>
    </row>
    <row r="163">
      <c r="A163" s="12" t="n"/>
      <c r="B163" s="12" t="n"/>
      <c r="C163" s="12" t="n"/>
      <c r="D163" s="12" t="n"/>
      <c r="E163" s="18" t="n"/>
      <c r="F163" s="13" t="n"/>
      <c r="G163" s="19">
        <f>IF(C163="","",IF(IFERROR(INDEX(Teams!$C$5:$C$104,MATCH(B163,Teams!$A$5:$A$104,0))&amp;"","")="","Unmapped",INDEX(Teams!$C$5:$C$104,MATCH(B163,Teams!$A$5:$A$104,0))))</f>
        <v/>
      </c>
      <c r="H163" s="20">
        <f>IF(C163="","",IFERROR(INDEX(Settings!$C$11:$C$25,MATCH(C163&amp;" - "&amp;D163,Settings!$D$11:$D$25,0)),0))</f>
        <v/>
      </c>
      <c r="I163" s="21">
        <f>IF(C163="","",H163*IF(E163="",1,E163/Settings!$B$4))</f>
        <v/>
      </c>
      <c r="J163" s="21">
        <f>IF(OR(C163="",C163="Claude Code"),0,IF(IFERROR(INDEX(Settings!$C$29:$C$31,MATCH(C163,Settings!$A$29:$A$31,0)),"")="",N(F163),IF(SUMIFS($F$5:$F$304,$C$5:$C$304,C163&amp;"")=0,0,N(F163)/SUMIFS($F$5:$F$304,$C$5:$C$304,C163&amp;"")*INDEX(Settings!$C$29:$C$31,MATCH(C163,Settings!$A$29:$A$31,0)))))</f>
        <v/>
      </c>
      <c r="K163" s="21">
        <f>IF(C163="","",I163+J163)</f>
        <v/>
      </c>
      <c r="L163" s="14">
        <f>IF(C163="","",IF(H163=0,IF(ISNUMBER(MATCH(C163&amp;" - "&amp;D163,Settings!$D$11:$D$25,0)),"OK","Tier not in Settings"),IF(G163="Unmapped","Team key not in Teams","OK")))</f>
        <v/>
      </c>
    </row>
    <row r="164">
      <c r="A164" s="12" t="n"/>
      <c r="B164" s="12" t="n"/>
      <c r="C164" s="12" t="n"/>
      <c r="D164" s="12" t="n"/>
      <c r="E164" s="18" t="n"/>
      <c r="F164" s="13" t="n"/>
      <c r="G164" s="19">
        <f>IF(C164="","",IF(IFERROR(INDEX(Teams!$C$5:$C$104,MATCH(B164,Teams!$A$5:$A$104,0))&amp;"","")="","Unmapped",INDEX(Teams!$C$5:$C$104,MATCH(B164,Teams!$A$5:$A$104,0))))</f>
        <v/>
      </c>
      <c r="H164" s="20">
        <f>IF(C164="","",IFERROR(INDEX(Settings!$C$11:$C$25,MATCH(C164&amp;" - "&amp;D164,Settings!$D$11:$D$25,0)),0))</f>
        <v/>
      </c>
      <c r="I164" s="21">
        <f>IF(C164="","",H164*IF(E164="",1,E164/Settings!$B$4))</f>
        <v/>
      </c>
      <c r="J164" s="21">
        <f>IF(OR(C164="",C164="Claude Code"),0,IF(IFERROR(INDEX(Settings!$C$29:$C$31,MATCH(C164,Settings!$A$29:$A$31,0)),"")="",N(F164),IF(SUMIFS($F$5:$F$304,$C$5:$C$304,C164&amp;"")=0,0,N(F164)/SUMIFS($F$5:$F$304,$C$5:$C$304,C164&amp;"")*INDEX(Settings!$C$29:$C$31,MATCH(C164,Settings!$A$29:$A$31,0)))))</f>
        <v/>
      </c>
      <c r="K164" s="21">
        <f>IF(C164="","",I164+J164)</f>
        <v/>
      </c>
      <c r="L164" s="14">
        <f>IF(C164="","",IF(H164=0,IF(ISNUMBER(MATCH(C164&amp;" - "&amp;D164,Settings!$D$11:$D$25,0)),"OK","Tier not in Settings"),IF(G164="Unmapped","Team key not in Teams","OK")))</f>
        <v/>
      </c>
    </row>
    <row r="165">
      <c r="A165" s="12" t="n"/>
      <c r="B165" s="12" t="n"/>
      <c r="C165" s="12" t="n"/>
      <c r="D165" s="12" t="n"/>
      <c r="E165" s="18" t="n"/>
      <c r="F165" s="13" t="n"/>
      <c r="G165" s="19">
        <f>IF(C165="","",IF(IFERROR(INDEX(Teams!$C$5:$C$104,MATCH(B165,Teams!$A$5:$A$104,0))&amp;"","")="","Unmapped",INDEX(Teams!$C$5:$C$104,MATCH(B165,Teams!$A$5:$A$104,0))))</f>
        <v/>
      </c>
      <c r="H165" s="20">
        <f>IF(C165="","",IFERROR(INDEX(Settings!$C$11:$C$25,MATCH(C165&amp;" - "&amp;D165,Settings!$D$11:$D$25,0)),0))</f>
        <v/>
      </c>
      <c r="I165" s="21">
        <f>IF(C165="","",H165*IF(E165="",1,E165/Settings!$B$4))</f>
        <v/>
      </c>
      <c r="J165" s="21">
        <f>IF(OR(C165="",C165="Claude Code"),0,IF(IFERROR(INDEX(Settings!$C$29:$C$31,MATCH(C165,Settings!$A$29:$A$31,0)),"")="",N(F165),IF(SUMIFS($F$5:$F$304,$C$5:$C$304,C165&amp;"")=0,0,N(F165)/SUMIFS($F$5:$F$304,$C$5:$C$304,C165&amp;"")*INDEX(Settings!$C$29:$C$31,MATCH(C165,Settings!$A$29:$A$31,0)))))</f>
        <v/>
      </c>
      <c r="K165" s="21">
        <f>IF(C165="","",I165+J165)</f>
        <v/>
      </c>
      <c r="L165" s="14">
        <f>IF(C165="","",IF(H165=0,IF(ISNUMBER(MATCH(C165&amp;" - "&amp;D165,Settings!$D$11:$D$25,0)),"OK","Tier not in Settings"),IF(G165="Unmapped","Team key not in Teams","OK")))</f>
        <v/>
      </c>
    </row>
    <row r="166">
      <c r="A166" s="12" t="n"/>
      <c r="B166" s="12" t="n"/>
      <c r="C166" s="12" t="n"/>
      <c r="D166" s="12" t="n"/>
      <c r="E166" s="18" t="n"/>
      <c r="F166" s="13" t="n"/>
      <c r="G166" s="19">
        <f>IF(C166="","",IF(IFERROR(INDEX(Teams!$C$5:$C$104,MATCH(B166,Teams!$A$5:$A$104,0))&amp;"","")="","Unmapped",INDEX(Teams!$C$5:$C$104,MATCH(B166,Teams!$A$5:$A$104,0))))</f>
        <v/>
      </c>
      <c r="H166" s="20">
        <f>IF(C166="","",IFERROR(INDEX(Settings!$C$11:$C$25,MATCH(C166&amp;" - "&amp;D166,Settings!$D$11:$D$25,0)),0))</f>
        <v/>
      </c>
      <c r="I166" s="21">
        <f>IF(C166="","",H166*IF(E166="",1,E166/Settings!$B$4))</f>
        <v/>
      </c>
      <c r="J166" s="21">
        <f>IF(OR(C166="",C166="Claude Code"),0,IF(IFERROR(INDEX(Settings!$C$29:$C$31,MATCH(C166,Settings!$A$29:$A$31,0)),"")="",N(F166),IF(SUMIFS($F$5:$F$304,$C$5:$C$304,C166&amp;"")=0,0,N(F166)/SUMIFS($F$5:$F$304,$C$5:$C$304,C166&amp;"")*INDEX(Settings!$C$29:$C$31,MATCH(C166,Settings!$A$29:$A$31,0)))))</f>
        <v/>
      </c>
      <c r="K166" s="21">
        <f>IF(C166="","",I166+J166)</f>
        <v/>
      </c>
      <c r="L166" s="14">
        <f>IF(C166="","",IF(H166=0,IF(ISNUMBER(MATCH(C166&amp;" - "&amp;D166,Settings!$D$11:$D$25,0)),"OK","Tier not in Settings"),IF(G166="Unmapped","Team key not in Teams","OK")))</f>
        <v/>
      </c>
    </row>
    <row r="167">
      <c r="A167" s="12" t="n"/>
      <c r="B167" s="12" t="n"/>
      <c r="C167" s="12" t="n"/>
      <c r="D167" s="12" t="n"/>
      <c r="E167" s="18" t="n"/>
      <c r="F167" s="13" t="n"/>
      <c r="G167" s="19">
        <f>IF(C167="","",IF(IFERROR(INDEX(Teams!$C$5:$C$104,MATCH(B167,Teams!$A$5:$A$104,0))&amp;"","")="","Unmapped",INDEX(Teams!$C$5:$C$104,MATCH(B167,Teams!$A$5:$A$104,0))))</f>
        <v/>
      </c>
      <c r="H167" s="20">
        <f>IF(C167="","",IFERROR(INDEX(Settings!$C$11:$C$25,MATCH(C167&amp;" - "&amp;D167,Settings!$D$11:$D$25,0)),0))</f>
        <v/>
      </c>
      <c r="I167" s="21">
        <f>IF(C167="","",H167*IF(E167="",1,E167/Settings!$B$4))</f>
        <v/>
      </c>
      <c r="J167" s="21">
        <f>IF(OR(C167="",C167="Claude Code"),0,IF(IFERROR(INDEX(Settings!$C$29:$C$31,MATCH(C167,Settings!$A$29:$A$31,0)),"")="",N(F167),IF(SUMIFS($F$5:$F$304,$C$5:$C$304,C167&amp;"")=0,0,N(F167)/SUMIFS($F$5:$F$304,$C$5:$C$304,C167&amp;"")*INDEX(Settings!$C$29:$C$31,MATCH(C167,Settings!$A$29:$A$31,0)))))</f>
        <v/>
      </c>
      <c r="K167" s="21">
        <f>IF(C167="","",I167+J167)</f>
        <v/>
      </c>
      <c r="L167" s="14">
        <f>IF(C167="","",IF(H167=0,IF(ISNUMBER(MATCH(C167&amp;" - "&amp;D167,Settings!$D$11:$D$25,0)),"OK","Tier not in Settings"),IF(G167="Unmapped","Team key not in Teams","OK")))</f>
        <v/>
      </c>
    </row>
    <row r="168">
      <c r="A168" s="12" t="n"/>
      <c r="B168" s="12" t="n"/>
      <c r="C168" s="12" t="n"/>
      <c r="D168" s="12" t="n"/>
      <c r="E168" s="18" t="n"/>
      <c r="F168" s="13" t="n"/>
      <c r="G168" s="19">
        <f>IF(C168="","",IF(IFERROR(INDEX(Teams!$C$5:$C$104,MATCH(B168,Teams!$A$5:$A$104,0))&amp;"","")="","Unmapped",INDEX(Teams!$C$5:$C$104,MATCH(B168,Teams!$A$5:$A$104,0))))</f>
        <v/>
      </c>
      <c r="H168" s="20">
        <f>IF(C168="","",IFERROR(INDEX(Settings!$C$11:$C$25,MATCH(C168&amp;" - "&amp;D168,Settings!$D$11:$D$25,0)),0))</f>
        <v/>
      </c>
      <c r="I168" s="21">
        <f>IF(C168="","",H168*IF(E168="",1,E168/Settings!$B$4))</f>
        <v/>
      </c>
      <c r="J168" s="21">
        <f>IF(OR(C168="",C168="Claude Code"),0,IF(IFERROR(INDEX(Settings!$C$29:$C$31,MATCH(C168,Settings!$A$29:$A$31,0)),"")="",N(F168),IF(SUMIFS($F$5:$F$304,$C$5:$C$304,C168&amp;"")=0,0,N(F168)/SUMIFS($F$5:$F$304,$C$5:$C$304,C168&amp;"")*INDEX(Settings!$C$29:$C$31,MATCH(C168,Settings!$A$29:$A$31,0)))))</f>
        <v/>
      </c>
      <c r="K168" s="21">
        <f>IF(C168="","",I168+J168)</f>
        <v/>
      </c>
      <c r="L168" s="14">
        <f>IF(C168="","",IF(H168=0,IF(ISNUMBER(MATCH(C168&amp;" - "&amp;D168,Settings!$D$11:$D$25,0)),"OK","Tier not in Settings"),IF(G168="Unmapped","Team key not in Teams","OK")))</f>
        <v/>
      </c>
    </row>
    <row r="169">
      <c r="A169" s="12" t="n"/>
      <c r="B169" s="12" t="n"/>
      <c r="C169" s="12" t="n"/>
      <c r="D169" s="12" t="n"/>
      <c r="E169" s="18" t="n"/>
      <c r="F169" s="13" t="n"/>
      <c r="G169" s="19">
        <f>IF(C169="","",IF(IFERROR(INDEX(Teams!$C$5:$C$104,MATCH(B169,Teams!$A$5:$A$104,0))&amp;"","")="","Unmapped",INDEX(Teams!$C$5:$C$104,MATCH(B169,Teams!$A$5:$A$104,0))))</f>
        <v/>
      </c>
      <c r="H169" s="20">
        <f>IF(C169="","",IFERROR(INDEX(Settings!$C$11:$C$25,MATCH(C169&amp;" - "&amp;D169,Settings!$D$11:$D$25,0)),0))</f>
        <v/>
      </c>
      <c r="I169" s="21">
        <f>IF(C169="","",H169*IF(E169="",1,E169/Settings!$B$4))</f>
        <v/>
      </c>
      <c r="J169" s="21">
        <f>IF(OR(C169="",C169="Claude Code"),0,IF(IFERROR(INDEX(Settings!$C$29:$C$31,MATCH(C169,Settings!$A$29:$A$31,0)),"")="",N(F169),IF(SUMIFS($F$5:$F$304,$C$5:$C$304,C169&amp;"")=0,0,N(F169)/SUMIFS($F$5:$F$304,$C$5:$C$304,C169&amp;"")*INDEX(Settings!$C$29:$C$31,MATCH(C169,Settings!$A$29:$A$31,0)))))</f>
        <v/>
      </c>
      <c r="K169" s="21">
        <f>IF(C169="","",I169+J169)</f>
        <v/>
      </c>
      <c r="L169" s="14">
        <f>IF(C169="","",IF(H169=0,IF(ISNUMBER(MATCH(C169&amp;" - "&amp;D169,Settings!$D$11:$D$25,0)),"OK","Tier not in Settings"),IF(G169="Unmapped","Team key not in Teams","OK")))</f>
        <v/>
      </c>
    </row>
    <row r="170">
      <c r="A170" s="12" t="n"/>
      <c r="B170" s="12" t="n"/>
      <c r="C170" s="12" t="n"/>
      <c r="D170" s="12" t="n"/>
      <c r="E170" s="18" t="n"/>
      <c r="F170" s="13" t="n"/>
      <c r="G170" s="19">
        <f>IF(C170="","",IF(IFERROR(INDEX(Teams!$C$5:$C$104,MATCH(B170,Teams!$A$5:$A$104,0))&amp;"","")="","Unmapped",INDEX(Teams!$C$5:$C$104,MATCH(B170,Teams!$A$5:$A$104,0))))</f>
        <v/>
      </c>
      <c r="H170" s="20">
        <f>IF(C170="","",IFERROR(INDEX(Settings!$C$11:$C$25,MATCH(C170&amp;" - "&amp;D170,Settings!$D$11:$D$25,0)),0))</f>
        <v/>
      </c>
      <c r="I170" s="21">
        <f>IF(C170="","",H170*IF(E170="",1,E170/Settings!$B$4))</f>
        <v/>
      </c>
      <c r="J170" s="21">
        <f>IF(OR(C170="",C170="Claude Code"),0,IF(IFERROR(INDEX(Settings!$C$29:$C$31,MATCH(C170,Settings!$A$29:$A$31,0)),"")="",N(F170),IF(SUMIFS($F$5:$F$304,$C$5:$C$304,C170&amp;"")=0,0,N(F170)/SUMIFS($F$5:$F$304,$C$5:$C$304,C170&amp;"")*INDEX(Settings!$C$29:$C$31,MATCH(C170,Settings!$A$29:$A$31,0)))))</f>
        <v/>
      </c>
      <c r="K170" s="21">
        <f>IF(C170="","",I170+J170)</f>
        <v/>
      </c>
      <c r="L170" s="14">
        <f>IF(C170="","",IF(H170=0,IF(ISNUMBER(MATCH(C170&amp;" - "&amp;D170,Settings!$D$11:$D$25,0)),"OK","Tier not in Settings"),IF(G170="Unmapped","Team key not in Teams","OK")))</f>
        <v/>
      </c>
    </row>
    <row r="171">
      <c r="A171" s="12" t="n"/>
      <c r="B171" s="12" t="n"/>
      <c r="C171" s="12" t="n"/>
      <c r="D171" s="12" t="n"/>
      <c r="E171" s="18" t="n"/>
      <c r="F171" s="13" t="n"/>
      <c r="G171" s="19">
        <f>IF(C171="","",IF(IFERROR(INDEX(Teams!$C$5:$C$104,MATCH(B171,Teams!$A$5:$A$104,0))&amp;"","")="","Unmapped",INDEX(Teams!$C$5:$C$104,MATCH(B171,Teams!$A$5:$A$104,0))))</f>
        <v/>
      </c>
      <c r="H171" s="20">
        <f>IF(C171="","",IFERROR(INDEX(Settings!$C$11:$C$25,MATCH(C171&amp;" - "&amp;D171,Settings!$D$11:$D$25,0)),0))</f>
        <v/>
      </c>
      <c r="I171" s="21">
        <f>IF(C171="","",H171*IF(E171="",1,E171/Settings!$B$4))</f>
        <v/>
      </c>
      <c r="J171" s="21">
        <f>IF(OR(C171="",C171="Claude Code"),0,IF(IFERROR(INDEX(Settings!$C$29:$C$31,MATCH(C171,Settings!$A$29:$A$31,0)),"")="",N(F171),IF(SUMIFS($F$5:$F$304,$C$5:$C$304,C171&amp;"")=0,0,N(F171)/SUMIFS($F$5:$F$304,$C$5:$C$304,C171&amp;"")*INDEX(Settings!$C$29:$C$31,MATCH(C171,Settings!$A$29:$A$31,0)))))</f>
        <v/>
      </c>
      <c r="K171" s="21">
        <f>IF(C171="","",I171+J171)</f>
        <v/>
      </c>
      <c r="L171" s="14">
        <f>IF(C171="","",IF(H171=0,IF(ISNUMBER(MATCH(C171&amp;" - "&amp;D171,Settings!$D$11:$D$25,0)),"OK","Tier not in Settings"),IF(G171="Unmapped","Team key not in Teams","OK")))</f>
        <v/>
      </c>
    </row>
    <row r="172">
      <c r="A172" s="12" t="n"/>
      <c r="B172" s="12" t="n"/>
      <c r="C172" s="12" t="n"/>
      <c r="D172" s="12" t="n"/>
      <c r="E172" s="18" t="n"/>
      <c r="F172" s="13" t="n"/>
      <c r="G172" s="19">
        <f>IF(C172="","",IF(IFERROR(INDEX(Teams!$C$5:$C$104,MATCH(B172,Teams!$A$5:$A$104,0))&amp;"","")="","Unmapped",INDEX(Teams!$C$5:$C$104,MATCH(B172,Teams!$A$5:$A$104,0))))</f>
        <v/>
      </c>
      <c r="H172" s="20">
        <f>IF(C172="","",IFERROR(INDEX(Settings!$C$11:$C$25,MATCH(C172&amp;" - "&amp;D172,Settings!$D$11:$D$25,0)),0))</f>
        <v/>
      </c>
      <c r="I172" s="21">
        <f>IF(C172="","",H172*IF(E172="",1,E172/Settings!$B$4))</f>
        <v/>
      </c>
      <c r="J172" s="21">
        <f>IF(OR(C172="",C172="Claude Code"),0,IF(IFERROR(INDEX(Settings!$C$29:$C$31,MATCH(C172,Settings!$A$29:$A$31,0)),"")="",N(F172),IF(SUMIFS($F$5:$F$304,$C$5:$C$304,C172&amp;"")=0,0,N(F172)/SUMIFS($F$5:$F$304,$C$5:$C$304,C172&amp;"")*INDEX(Settings!$C$29:$C$31,MATCH(C172,Settings!$A$29:$A$31,0)))))</f>
        <v/>
      </c>
      <c r="K172" s="21">
        <f>IF(C172="","",I172+J172)</f>
        <v/>
      </c>
      <c r="L172" s="14">
        <f>IF(C172="","",IF(H172=0,IF(ISNUMBER(MATCH(C172&amp;" - "&amp;D172,Settings!$D$11:$D$25,0)),"OK","Tier not in Settings"),IF(G172="Unmapped","Team key not in Teams","OK")))</f>
        <v/>
      </c>
    </row>
    <row r="173">
      <c r="A173" s="12" t="n"/>
      <c r="B173" s="12" t="n"/>
      <c r="C173" s="12" t="n"/>
      <c r="D173" s="12" t="n"/>
      <c r="E173" s="18" t="n"/>
      <c r="F173" s="13" t="n"/>
      <c r="G173" s="19">
        <f>IF(C173="","",IF(IFERROR(INDEX(Teams!$C$5:$C$104,MATCH(B173,Teams!$A$5:$A$104,0))&amp;"","")="","Unmapped",INDEX(Teams!$C$5:$C$104,MATCH(B173,Teams!$A$5:$A$104,0))))</f>
        <v/>
      </c>
      <c r="H173" s="20">
        <f>IF(C173="","",IFERROR(INDEX(Settings!$C$11:$C$25,MATCH(C173&amp;" - "&amp;D173,Settings!$D$11:$D$25,0)),0))</f>
        <v/>
      </c>
      <c r="I173" s="21">
        <f>IF(C173="","",H173*IF(E173="",1,E173/Settings!$B$4))</f>
        <v/>
      </c>
      <c r="J173" s="21">
        <f>IF(OR(C173="",C173="Claude Code"),0,IF(IFERROR(INDEX(Settings!$C$29:$C$31,MATCH(C173,Settings!$A$29:$A$31,0)),"")="",N(F173),IF(SUMIFS($F$5:$F$304,$C$5:$C$304,C173&amp;"")=0,0,N(F173)/SUMIFS($F$5:$F$304,$C$5:$C$304,C173&amp;"")*INDEX(Settings!$C$29:$C$31,MATCH(C173,Settings!$A$29:$A$31,0)))))</f>
        <v/>
      </c>
      <c r="K173" s="21">
        <f>IF(C173="","",I173+J173)</f>
        <v/>
      </c>
      <c r="L173" s="14">
        <f>IF(C173="","",IF(H173=0,IF(ISNUMBER(MATCH(C173&amp;" - "&amp;D173,Settings!$D$11:$D$25,0)),"OK","Tier not in Settings"),IF(G173="Unmapped","Team key not in Teams","OK")))</f>
        <v/>
      </c>
    </row>
    <row r="174">
      <c r="A174" s="12" t="n"/>
      <c r="B174" s="12" t="n"/>
      <c r="C174" s="12" t="n"/>
      <c r="D174" s="12" t="n"/>
      <c r="E174" s="18" t="n"/>
      <c r="F174" s="13" t="n"/>
      <c r="G174" s="19">
        <f>IF(C174="","",IF(IFERROR(INDEX(Teams!$C$5:$C$104,MATCH(B174,Teams!$A$5:$A$104,0))&amp;"","")="","Unmapped",INDEX(Teams!$C$5:$C$104,MATCH(B174,Teams!$A$5:$A$104,0))))</f>
        <v/>
      </c>
      <c r="H174" s="20">
        <f>IF(C174="","",IFERROR(INDEX(Settings!$C$11:$C$25,MATCH(C174&amp;" - "&amp;D174,Settings!$D$11:$D$25,0)),0))</f>
        <v/>
      </c>
      <c r="I174" s="21">
        <f>IF(C174="","",H174*IF(E174="",1,E174/Settings!$B$4))</f>
        <v/>
      </c>
      <c r="J174" s="21">
        <f>IF(OR(C174="",C174="Claude Code"),0,IF(IFERROR(INDEX(Settings!$C$29:$C$31,MATCH(C174,Settings!$A$29:$A$31,0)),"")="",N(F174),IF(SUMIFS($F$5:$F$304,$C$5:$C$304,C174&amp;"")=0,0,N(F174)/SUMIFS($F$5:$F$304,$C$5:$C$304,C174&amp;"")*INDEX(Settings!$C$29:$C$31,MATCH(C174,Settings!$A$29:$A$31,0)))))</f>
        <v/>
      </c>
      <c r="K174" s="21">
        <f>IF(C174="","",I174+J174)</f>
        <v/>
      </c>
      <c r="L174" s="14">
        <f>IF(C174="","",IF(H174=0,IF(ISNUMBER(MATCH(C174&amp;" - "&amp;D174,Settings!$D$11:$D$25,0)),"OK","Tier not in Settings"),IF(G174="Unmapped","Team key not in Teams","OK")))</f>
        <v/>
      </c>
    </row>
    <row r="175">
      <c r="A175" s="12" t="n"/>
      <c r="B175" s="12" t="n"/>
      <c r="C175" s="12" t="n"/>
      <c r="D175" s="12" t="n"/>
      <c r="E175" s="18" t="n"/>
      <c r="F175" s="13" t="n"/>
      <c r="G175" s="19">
        <f>IF(C175="","",IF(IFERROR(INDEX(Teams!$C$5:$C$104,MATCH(B175,Teams!$A$5:$A$104,0))&amp;"","")="","Unmapped",INDEX(Teams!$C$5:$C$104,MATCH(B175,Teams!$A$5:$A$104,0))))</f>
        <v/>
      </c>
      <c r="H175" s="20">
        <f>IF(C175="","",IFERROR(INDEX(Settings!$C$11:$C$25,MATCH(C175&amp;" - "&amp;D175,Settings!$D$11:$D$25,0)),0))</f>
        <v/>
      </c>
      <c r="I175" s="21">
        <f>IF(C175="","",H175*IF(E175="",1,E175/Settings!$B$4))</f>
        <v/>
      </c>
      <c r="J175" s="21">
        <f>IF(OR(C175="",C175="Claude Code"),0,IF(IFERROR(INDEX(Settings!$C$29:$C$31,MATCH(C175,Settings!$A$29:$A$31,0)),"")="",N(F175),IF(SUMIFS($F$5:$F$304,$C$5:$C$304,C175&amp;"")=0,0,N(F175)/SUMIFS($F$5:$F$304,$C$5:$C$304,C175&amp;"")*INDEX(Settings!$C$29:$C$31,MATCH(C175,Settings!$A$29:$A$31,0)))))</f>
        <v/>
      </c>
      <c r="K175" s="21">
        <f>IF(C175="","",I175+J175)</f>
        <v/>
      </c>
      <c r="L175" s="14">
        <f>IF(C175="","",IF(H175=0,IF(ISNUMBER(MATCH(C175&amp;" - "&amp;D175,Settings!$D$11:$D$25,0)),"OK","Tier not in Settings"),IF(G175="Unmapped","Team key not in Teams","OK")))</f>
        <v/>
      </c>
    </row>
    <row r="176">
      <c r="A176" s="12" t="n"/>
      <c r="B176" s="12" t="n"/>
      <c r="C176" s="12" t="n"/>
      <c r="D176" s="12" t="n"/>
      <c r="E176" s="18" t="n"/>
      <c r="F176" s="13" t="n"/>
      <c r="G176" s="19">
        <f>IF(C176="","",IF(IFERROR(INDEX(Teams!$C$5:$C$104,MATCH(B176,Teams!$A$5:$A$104,0))&amp;"","")="","Unmapped",INDEX(Teams!$C$5:$C$104,MATCH(B176,Teams!$A$5:$A$104,0))))</f>
        <v/>
      </c>
      <c r="H176" s="20">
        <f>IF(C176="","",IFERROR(INDEX(Settings!$C$11:$C$25,MATCH(C176&amp;" - "&amp;D176,Settings!$D$11:$D$25,0)),0))</f>
        <v/>
      </c>
      <c r="I176" s="21">
        <f>IF(C176="","",H176*IF(E176="",1,E176/Settings!$B$4))</f>
        <v/>
      </c>
      <c r="J176" s="21">
        <f>IF(OR(C176="",C176="Claude Code"),0,IF(IFERROR(INDEX(Settings!$C$29:$C$31,MATCH(C176,Settings!$A$29:$A$31,0)),"")="",N(F176),IF(SUMIFS($F$5:$F$304,$C$5:$C$304,C176&amp;"")=0,0,N(F176)/SUMIFS($F$5:$F$304,$C$5:$C$304,C176&amp;"")*INDEX(Settings!$C$29:$C$31,MATCH(C176,Settings!$A$29:$A$31,0)))))</f>
        <v/>
      </c>
      <c r="K176" s="21">
        <f>IF(C176="","",I176+J176)</f>
        <v/>
      </c>
      <c r="L176" s="14">
        <f>IF(C176="","",IF(H176=0,IF(ISNUMBER(MATCH(C176&amp;" - "&amp;D176,Settings!$D$11:$D$25,0)),"OK","Tier not in Settings"),IF(G176="Unmapped","Team key not in Teams","OK")))</f>
        <v/>
      </c>
    </row>
    <row r="177">
      <c r="A177" s="12" t="n"/>
      <c r="B177" s="12" t="n"/>
      <c r="C177" s="12" t="n"/>
      <c r="D177" s="12" t="n"/>
      <c r="E177" s="18" t="n"/>
      <c r="F177" s="13" t="n"/>
      <c r="G177" s="19">
        <f>IF(C177="","",IF(IFERROR(INDEX(Teams!$C$5:$C$104,MATCH(B177,Teams!$A$5:$A$104,0))&amp;"","")="","Unmapped",INDEX(Teams!$C$5:$C$104,MATCH(B177,Teams!$A$5:$A$104,0))))</f>
        <v/>
      </c>
      <c r="H177" s="20">
        <f>IF(C177="","",IFERROR(INDEX(Settings!$C$11:$C$25,MATCH(C177&amp;" - "&amp;D177,Settings!$D$11:$D$25,0)),0))</f>
        <v/>
      </c>
      <c r="I177" s="21">
        <f>IF(C177="","",H177*IF(E177="",1,E177/Settings!$B$4))</f>
        <v/>
      </c>
      <c r="J177" s="21">
        <f>IF(OR(C177="",C177="Claude Code"),0,IF(IFERROR(INDEX(Settings!$C$29:$C$31,MATCH(C177,Settings!$A$29:$A$31,0)),"")="",N(F177),IF(SUMIFS($F$5:$F$304,$C$5:$C$304,C177&amp;"")=0,0,N(F177)/SUMIFS($F$5:$F$304,$C$5:$C$304,C177&amp;"")*INDEX(Settings!$C$29:$C$31,MATCH(C177,Settings!$A$29:$A$31,0)))))</f>
        <v/>
      </c>
      <c r="K177" s="21">
        <f>IF(C177="","",I177+J177)</f>
        <v/>
      </c>
      <c r="L177" s="14">
        <f>IF(C177="","",IF(H177=0,IF(ISNUMBER(MATCH(C177&amp;" - "&amp;D177,Settings!$D$11:$D$25,0)),"OK","Tier not in Settings"),IF(G177="Unmapped","Team key not in Teams","OK")))</f>
        <v/>
      </c>
    </row>
    <row r="178">
      <c r="A178" s="12" t="n"/>
      <c r="B178" s="12" t="n"/>
      <c r="C178" s="12" t="n"/>
      <c r="D178" s="12" t="n"/>
      <c r="E178" s="18" t="n"/>
      <c r="F178" s="13" t="n"/>
      <c r="G178" s="19">
        <f>IF(C178="","",IF(IFERROR(INDEX(Teams!$C$5:$C$104,MATCH(B178,Teams!$A$5:$A$104,0))&amp;"","")="","Unmapped",INDEX(Teams!$C$5:$C$104,MATCH(B178,Teams!$A$5:$A$104,0))))</f>
        <v/>
      </c>
      <c r="H178" s="20">
        <f>IF(C178="","",IFERROR(INDEX(Settings!$C$11:$C$25,MATCH(C178&amp;" - "&amp;D178,Settings!$D$11:$D$25,0)),0))</f>
        <v/>
      </c>
      <c r="I178" s="21">
        <f>IF(C178="","",H178*IF(E178="",1,E178/Settings!$B$4))</f>
        <v/>
      </c>
      <c r="J178" s="21">
        <f>IF(OR(C178="",C178="Claude Code"),0,IF(IFERROR(INDEX(Settings!$C$29:$C$31,MATCH(C178,Settings!$A$29:$A$31,0)),"")="",N(F178),IF(SUMIFS($F$5:$F$304,$C$5:$C$304,C178&amp;"")=0,0,N(F178)/SUMIFS($F$5:$F$304,$C$5:$C$304,C178&amp;"")*INDEX(Settings!$C$29:$C$31,MATCH(C178,Settings!$A$29:$A$31,0)))))</f>
        <v/>
      </c>
      <c r="K178" s="21">
        <f>IF(C178="","",I178+J178)</f>
        <v/>
      </c>
      <c r="L178" s="14">
        <f>IF(C178="","",IF(H178=0,IF(ISNUMBER(MATCH(C178&amp;" - "&amp;D178,Settings!$D$11:$D$25,0)),"OK","Tier not in Settings"),IF(G178="Unmapped","Team key not in Teams","OK")))</f>
        <v/>
      </c>
    </row>
    <row r="179">
      <c r="A179" s="12" t="n"/>
      <c r="B179" s="12" t="n"/>
      <c r="C179" s="12" t="n"/>
      <c r="D179" s="12" t="n"/>
      <c r="E179" s="18" t="n"/>
      <c r="F179" s="13" t="n"/>
      <c r="G179" s="19">
        <f>IF(C179="","",IF(IFERROR(INDEX(Teams!$C$5:$C$104,MATCH(B179,Teams!$A$5:$A$104,0))&amp;"","")="","Unmapped",INDEX(Teams!$C$5:$C$104,MATCH(B179,Teams!$A$5:$A$104,0))))</f>
        <v/>
      </c>
      <c r="H179" s="20">
        <f>IF(C179="","",IFERROR(INDEX(Settings!$C$11:$C$25,MATCH(C179&amp;" - "&amp;D179,Settings!$D$11:$D$25,0)),0))</f>
        <v/>
      </c>
      <c r="I179" s="21">
        <f>IF(C179="","",H179*IF(E179="",1,E179/Settings!$B$4))</f>
        <v/>
      </c>
      <c r="J179" s="21">
        <f>IF(OR(C179="",C179="Claude Code"),0,IF(IFERROR(INDEX(Settings!$C$29:$C$31,MATCH(C179,Settings!$A$29:$A$31,0)),"")="",N(F179),IF(SUMIFS($F$5:$F$304,$C$5:$C$304,C179&amp;"")=0,0,N(F179)/SUMIFS($F$5:$F$304,$C$5:$C$304,C179&amp;"")*INDEX(Settings!$C$29:$C$31,MATCH(C179,Settings!$A$29:$A$31,0)))))</f>
        <v/>
      </c>
      <c r="K179" s="21">
        <f>IF(C179="","",I179+J179)</f>
        <v/>
      </c>
      <c r="L179" s="14">
        <f>IF(C179="","",IF(H179=0,IF(ISNUMBER(MATCH(C179&amp;" - "&amp;D179,Settings!$D$11:$D$25,0)),"OK","Tier not in Settings"),IF(G179="Unmapped","Team key not in Teams","OK")))</f>
        <v/>
      </c>
    </row>
    <row r="180">
      <c r="A180" s="12" t="n"/>
      <c r="B180" s="12" t="n"/>
      <c r="C180" s="12" t="n"/>
      <c r="D180" s="12" t="n"/>
      <c r="E180" s="18" t="n"/>
      <c r="F180" s="13" t="n"/>
      <c r="G180" s="19">
        <f>IF(C180="","",IF(IFERROR(INDEX(Teams!$C$5:$C$104,MATCH(B180,Teams!$A$5:$A$104,0))&amp;"","")="","Unmapped",INDEX(Teams!$C$5:$C$104,MATCH(B180,Teams!$A$5:$A$104,0))))</f>
        <v/>
      </c>
      <c r="H180" s="20">
        <f>IF(C180="","",IFERROR(INDEX(Settings!$C$11:$C$25,MATCH(C180&amp;" - "&amp;D180,Settings!$D$11:$D$25,0)),0))</f>
        <v/>
      </c>
      <c r="I180" s="21">
        <f>IF(C180="","",H180*IF(E180="",1,E180/Settings!$B$4))</f>
        <v/>
      </c>
      <c r="J180" s="21">
        <f>IF(OR(C180="",C180="Claude Code"),0,IF(IFERROR(INDEX(Settings!$C$29:$C$31,MATCH(C180,Settings!$A$29:$A$31,0)),"")="",N(F180),IF(SUMIFS($F$5:$F$304,$C$5:$C$304,C180&amp;"")=0,0,N(F180)/SUMIFS($F$5:$F$304,$C$5:$C$304,C180&amp;"")*INDEX(Settings!$C$29:$C$31,MATCH(C180,Settings!$A$29:$A$31,0)))))</f>
        <v/>
      </c>
      <c r="K180" s="21">
        <f>IF(C180="","",I180+J180)</f>
        <v/>
      </c>
      <c r="L180" s="14">
        <f>IF(C180="","",IF(H180=0,IF(ISNUMBER(MATCH(C180&amp;" - "&amp;D180,Settings!$D$11:$D$25,0)),"OK","Tier not in Settings"),IF(G180="Unmapped","Team key not in Teams","OK")))</f>
        <v/>
      </c>
    </row>
    <row r="181">
      <c r="A181" s="12" t="n"/>
      <c r="B181" s="12" t="n"/>
      <c r="C181" s="12" t="n"/>
      <c r="D181" s="12" t="n"/>
      <c r="E181" s="18" t="n"/>
      <c r="F181" s="13" t="n"/>
      <c r="G181" s="19">
        <f>IF(C181="","",IF(IFERROR(INDEX(Teams!$C$5:$C$104,MATCH(B181,Teams!$A$5:$A$104,0))&amp;"","")="","Unmapped",INDEX(Teams!$C$5:$C$104,MATCH(B181,Teams!$A$5:$A$104,0))))</f>
        <v/>
      </c>
      <c r="H181" s="20">
        <f>IF(C181="","",IFERROR(INDEX(Settings!$C$11:$C$25,MATCH(C181&amp;" - "&amp;D181,Settings!$D$11:$D$25,0)),0))</f>
        <v/>
      </c>
      <c r="I181" s="21">
        <f>IF(C181="","",H181*IF(E181="",1,E181/Settings!$B$4))</f>
        <v/>
      </c>
      <c r="J181" s="21">
        <f>IF(OR(C181="",C181="Claude Code"),0,IF(IFERROR(INDEX(Settings!$C$29:$C$31,MATCH(C181,Settings!$A$29:$A$31,0)),"")="",N(F181),IF(SUMIFS($F$5:$F$304,$C$5:$C$304,C181&amp;"")=0,0,N(F181)/SUMIFS($F$5:$F$304,$C$5:$C$304,C181&amp;"")*INDEX(Settings!$C$29:$C$31,MATCH(C181,Settings!$A$29:$A$31,0)))))</f>
        <v/>
      </c>
      <c r="K181" s="21">
        <f>IF(C181="","",I181+J181)</f>
        <v/>
      </c>
      <c r="L181" s="14">
        <f>IF(C181="","",IF(H181=0,IF(ISNUMBER(MATCH(C181&amp;" - "&amp;D181,Settings!$D$11:$D$25,0)),"OK","Tier not in Settings"),IF(G181="Unmapped","Team key not in Teams","OK")))</f>
        <v/>
      </c>
    </row>
    <row r="182">
      <c r="A182" s="12" t="n"/>
      <c r="B182" s="12" t="n"/>
      <c r="C182" s="12" t="n"/>
      <c r="D182" s="12" t="n"/>
      <c r="E182" s="18" t="n"/>
      <c r="F182" s="13" t="n"/>
      <c r="G182" s="19">
        <f>IF(C182="","",IF(IFERROR(INDEX(Teams!$C$5:$C$104,MATCH(B182,Teams!$A$5:$A$104,0))&amp;"","")="","Unmapped",INDEX(Teams!$C$5:$C$104,MATCH(B182,Teams!$A$5:$A$104,0))))</f>
        <v/>
      </c>
      <c r="H182" s="20">
        <f>IF(C182="","",IFERROR(INDEX(Settings!$C$11:$C$25,MATCH(C182&amp;" - "&amp;D182,Settings!$D$11:$D$25,0)),0))</f>
        <v/>
      </c>
      <c r="I182" s="21">
        <f>IF(C182="","",H182*IF(E182="",1,E182/Settings!$B$4))</f>
        <v/>
      </c>
      <c r="J182" s="21">
        <f>IF(OR(C182="",C182="Claude Code"),0,IF(IFERROR(INDEX(Settings!$C$29:$C$31,MATCH(C182,Settings!$A$29:$A$31,0)),"")="",N(F182),IF(SUMIFS($F$5:$F$304,$C$5:$C$304,C182&amp;"")=0,0,N(F182)/SUMIFS($F$5:$F$304,$C$5:$C$304,C182&amp;"")*INDEX(Settings!$C$29:$C$31,MATCH(C182,Settings!$A$29:$A$31,0)))))</f>
        <v/>
      </c>
      <c r="K182" s="21">
        <f>IF(C182="","",I182+J182)</f>
        <v/>
      </c>
      <c r="L182" s="14">
        <f>IF(C182="","",IF(H182=0,IF(ISNUMBER(MATCH(C182&amp;" - "&amp;D182,Settings!$D$11:$D$25,0)),"OK","Tier not in Settings"),IF(G182="Unmapped","Team key not in Teams","OK")))</f>
        <v/>
      </c>
    </row>
    <row r="183">
      <c r="A183" s="12" t="n"/>
      <c r="B183" s="12" t="n"/>
      <c r="C183" s="12" t="n"/>
      <c r="D183" s="12" t="n"/>
      <c r="E183" s="18" t="n"/>
      <c r="F183" s="13" t="n"/>
      <c r="G183" s="19">
        <f>IF(C183="","",IF(IFERROR(INDEX(Teams!$C$5:$C$104,MATCH(B183,Teams!$A$5:$A$104,0))&amp;"","")="","Unmapped",INDEX(Teams!$C$5:$C$104,MATCH(B183,Teams!$A$5:$A$104,0))))</f>
        <v/>
      </c>
      <c r="H183" s="20">
        <f>IF(C183="","",IFERROR(INDEX(Settings!$C$11:$C$25,MATCH(C183&amp;" - "&amp;D183,Settings!$D$11:$D$25,0)),0))</f>
        <v/>
      </c>
      <c r="I183" s="21">
        <f>IF(C183="","",H183*IF(E183="",1,E183/Settings!$B$4))</f>
        <v/>
      </c>
      <c r="J183" s="21">
        <f>IF(OR(C183="",C183="Claude Code"),0,IF(IFERROR(INDEX(Settings!$C$29:$C$31,MATCH(C183,Settings!$A$29:$A$31,0)),"")="",N(F183),IF(SUMIFS($F$5:$F$304,$C$5:$C$304,C183&amp;"")=0,0,N(F183)/SUMIFS($F$5:$F$304,$C$5:$C$304,C183&amp;"")*INDEX(Settings!$C$29:$C$31,MATCH(C183,Settings!$A$29:$A$31,0)))))</f>
        <v/>
      </c>
      <c r="K183" s="21">
        <f>IF(C183="","",I183+J183)</f>
        <v/>
      </c>
      <c r="L183" s="14">
        <f>IF(C183="","",IF(H183=0,IF(ISNUMBER(MATCH(C183&amp;" - "&amp;D183,Settings!$D$11:$D$25,0)),"OK","Tier not in Settings"),IF(G183="Unmapped","Team key not in Teams","OK")))</f>
        <v/>
      </c>
    </row>
    <row r="184">
      <c r="A184" s="12" t="n"/>
      <c r="B184" s="12" t="n"/>
      <c r="C184" s="12" t="n"/>
      <c r="D184" s="12" t="n"/>
      <c r="E184" s="18" t="n"/>
      <c r="F184" s="13" t="n"/>
      <c r="G184" s="19">
        <f>IF(C184="","",IF(IFERROR(INDEX(Teams!$C$5:$C$104,MATCH(B184,Teams!$A$5:$A$104,0))&amp;"","")="","Unmapped",INDEX(Teams!$C$5:$C$104,MATCH(B184,Teams!$A$5:$A$104,0))))</f>
        <v/>
      </c>
      <c r="H184" s="20">
        <f>IF(C184="","",IFERROR(INDEX(Settings!$C$11:$C$25,MATCH(C184&amp;" - "&amp;D184,Settings!$D$11:$D$25,0)),0))</f>
        <v/>
      </c>
      <c r="I184" s="21">
        <f>IF(C184="","",H184*IF(E184="",1,E184/Settings!$B$4))</f>
        <v/>
      </c>
      <c r="J184" s="21">
        <f>IF(OR(C184="",C184="Claude Code"),0,IF(IFERROR(INDEX(Settings!$C$29:$C$31,MATCH(C184,Settings!$A$29:$A$31,0)),"")="",N(F184),IF(SUMIFS($F$5:$F$304,$C$5:$C$304,C184&amp;"")=0,0,N(F184)/SUMIFS($F$5:$F$304,$C$5:$C$304,C184&amp;"")*INDEX(Settings!$C$29:$C$31,MATCH(C184,Settings!$A$29:$A$31,0)))))</f>
        <v/>
      </c>
      <c r="K184" s="21">
        <f>IF(C184="","",I184+J184)</f>
        <v/>
      </c>
      <c r="L184" s="14">
        <f>IF(C184="","",IF(H184=0,IF(ISNUMBER(MATCH(C184&amp;" - "&amp;D184,Settings!$D$11:$D$25,0)),"OK","Tier not in Settings"),IF(G184="Unmapped","Team key not in Teams","OK")))</f>
        <v/>
      </c>
    </row>
    <row r="185">
      <c r="A185" s="12" t="n"/>
      <c r="B185" s="12" t="n"/>
      <c r="C185" s="12" t="n"/>
      <c r="D185" s="12" t="n"/>
      <c r="E185" s="18" t="n"/>
      <c r="F185" s="13" t="n"/>
      <c r="G185" s="19">
        <f>IF(C185="","",IF(IFERROR(INDEX(Teams!$C$5:$C$104,MATCH(B185,Teams!$A$5:$A$104,0))&amp;"","")="","Unmapped",INDEX(Teams!$C$5:$C$104,MATCH(B185,Teams!$A$5:$A$104,0))))</f>
        <v/>
      </c>
      <c r="H185" s="20">
        <f>IF(C185="","",IFERROR(INDEX(Settings!$C$11:$C$25,MATCH(C185&amp;" - "&amp;D185,Settings!$D$11:$D$25,0)),0))</f>
        <v/>
      </c>
      <c r="I185" s="21">
        <f>IF(C185="","",H185*IF(E185="",1,E185/Settings!$B$4))</f>
        <v/>
      </c>
      <c r="J185" s="21">
        <f>IF(OR(C185="",C185="Claude Code"),0,IF(IFERROR(INDEX(Settings!$C$29:$C$31,MATCH(C185,Settings!$A$29:$A$31,0)),"")="",N(F185),IF(SUMIFS($F$5:$F$304,$C$5:$C$304,C185&amp;"")=0,0,N(F185)/SUMIFS($F$5:$F$304,$C$5:$C$304,C185&amp;"")*INDEX(Settings!$C$29:$C$31,MATCH(C185,Settings!$A$29:$A$31,0)))))</f>
        <v/>
      </c>
      <c r="K185" s="21">
        <f>IF(C185="","",I185+J185)</f>
        <v/>
      </c>
      <c r="L185" s="14">
        <f>IF(C185="","",IF(H185=0,IF(ISNUMBER(MATCH(C185&amp;" - "&amp;D185,Settings!$D$11:$D$25,0)),"OK","Tier not in Settings"),IF(G185="Unmapped","Team key not in Teams","OK")))</f>
        <v/>
      </c>
    </row>
    <row r="186">
      <c r="A186" s="12" t="n"/>
      <c r="B186" s="12" t="n"/>
      <c r="C186" s="12" t="n"/>
      <c r="D186" s="12" t="n"/>
      <c r="E186" s="18" t="n"/>
      <c r="F186" s="13" t="n"/>
      <c r="G186" s="19">
        <f>IF(C186="","",IF(IFERROR(INDEX(Teams!$C$5:$C$104,MATCH(B186,Teams!$A$5:$A$104,0))&amp;"","")="","Unmapped",INDEX(Teams!$C$5:$C$104,MATCH(B186,Teams!$A$5:$A$104,0))))</f>
        <v/>
      </c>
      <c r="H186" s="20">
        <f>IF(C186="","",IFERROR(INDEX(Settings!$C$11:$C$25,MATCH(C186&amp;" - "&amp;D186,Settings!$D$11:$D$25,0)),0))</f>
        <v/>
      </c>
      <c r="I186" s="21">
        <f>IF(C186="","",H186*IF(E186="",1,E186/Settings!$B$4))</f>
        <v/>
      </c>
      <c r="J186" s="21">
        <f>IF(OR(C186="",C186="Claude Code"),0,IF(IFERROR(INDEX(Settings!$C$29:$C$31,MATCH(C186,Settings!$A$29:$A$31,0)),"")="",N(F186),IF(SUMIFS($F$5:$F$304,$C$5:$C$304,C186&amp;"")=0,0,N(F186)/SUMIFS($F$5:$F$304,$C$5:$C$304,C186&amp;"")*INDEX(Settings!$C$29:$C$31,MATCH(C186,Settings!$A$29:$A$31,0)))))</f>
        <v/>
      </c>
      <c r="K186" s="21">
        <f>IF(C186="","",I186+J186)</f>
        <v/>
      </c>
      <c r="L186" s="14">
        <f>IF(C186="","",IF(H186=0,IF(ISNUMBER(MATCH(C186&amp;" - "&amp;D186,Settings!$D$11:$D$25,0)),"OK","Tier not in Settings"),IF(G186="Unmapped","Team key not in Teams","OK")))</f>
        <v/>
      </c>
    </row>
    <row r="187">
      <c r="A187" s="12" t="n"/>
      <c r="B187" s="12" t="n"/>
      <c r="C187" s="12" t="n"/>
      <c r="D187" s="12" t="n"/>
      <c r="E187" s="18" t="n"/>
      <c r="F187" s="13" t="n"/>
      <c r="G187" s="19">
        <f>IF(C187="","",IF(IFERROR(INDEX(Teams!$C$5:$C$104,MATCH(B187,Teams!$A$5:$A$104,0))&amp;"","")="","Unmapped",INDEX(Teams!$C$5:$C$104,MATCH(B187,Teams!$A$5:$A$104,0))))</f>
        <v/>
      </c>
      <c r="H187" s="20">
        <f>IF(C187="","",IFERROR(INDEX(Settings!$C$11:$C$25,MATCH(C187&amp;" - "&amp;D187,Settings!$D$11:$D$25,0)),0))</f>
        <v/>
      </c>
      <c r="I187" s="21">
        <f>IF(C187="","",H187*IF(E187="",1,E187/Settings!$B$4))</f>
        <v/>
      </c>
      <c r="J187" s="21">
        <f>IF(OR(C187="",C187="Claude Code"),0,IF(IFERROR(INDEX(Settings!$C$29:$C$31,MATCH(C187,Settings!$A$29:$A$31,0)),"")="",N(F187),IF(SUMIFS($F$5:$F$304,$C$5:$C$304,C187&amp;"")=0,0,N(F187)/SUMIFS($F$5:$F$304,$C$5:$C$304,C187&amp;"")*INDEX(Settings!$C$29:$C$31,MATCH(C187,Settings!$A$29:$A$31,0)))))</f>
        <v/>
      </c>
      <c r="K187" s="21">
        <f>IF(C187="","",I187+J187)</f>
        <v/>
      </c>
      <c r="L187" s="14">
        <f>IF(C187="","",IF(H187=0,IF(ISNUMBER(MATCH(C187&amp;" - "&amp;D187,Settings!$D$11:$D$25,0)),"OK","Tier not in Settings"),IF(G187="Unmapped","Team key not in Teams","OK")))</f>
        <v/>
      </c>
    </row>
    <row r="188">
      <c r="A188" s="12" t="n"/>
      <c r="B188" s="12" t="n"/>
      <c r="C188" s="12" t="n"/>
      <c r="D188" s="12" t="n"/>
      <c r="E188" s="18" t="n"/>
      <c r="F188" s="13" t="n"/>
      <c r="G188" s="19">
        <f>IF(C188="","",IF(IFERROR(INDEX(Teams!$C$5:$C$104,MATCH(B188,Teams!$A$5:$A$104,0))&amp;"","")="","Unmapped",INDEX(Teams!$C$5:$C$104,MATCH(B188,Teams!$A$5:$A$104,0))))</f>
        <v/>
      </c>
      <c r="H188" s="20">
        <f>IF(C188="","",IFERROR(INDEX(Settings!$C$11:$C$25,MATCH(C188&amp;" - "&amp;D188,Settings!$D$11:$D$25,0)),0))</f>
        <v/>
      </c>
      <c r="I188" s="21">
        <f>IF(C188="","",H188*IF(E188="",1,E188/Settings!$B$4))</f>
        <v/>
      </c>
      <c r="J188" s="21">
        <f>IF(OR(C188="",C188="Claude Code"),0,IF(IFERROR(INDEX(Settings!$C$29:$C$31,MATCH(C188,Settings!$A$29:$A$31,0)),"")="",N(F188),IF(SUMIFS($F$5:$F$304,$C$5:$C$304,C188&amp;"")=0,0,N(F188)/SUMIFS($F$5:$F$304,$C$5:$C$304,C188&amp;"")*INDEX(Settings!$C$29:$C$31,MATCH(C188,Settings!$A$29:$A$31,0)))))</f>
        <v/>
      </c>
      <c r="K188" s="21">
        <f>IF(C188="","",I188+J188)</f>
        <v/>
      </c>
      <c r="L188" s="14">
        <f>IF(C188="","",IF(H188=0,IF(ISNUMBER(MATCH(C188&amp;" - "&amp;D188,Settings!$D$11:$D$25,0)),"OK","Tier not in Settings"),IF(G188="Unmapped","Team key not in Teams","OK")))</f>
        <v/>
      </c>
    </row>
    <row r="189">
      <c r="A189" s="12" t="n"/>
      <c r="B189" s="12" t="n"/>
      <c r="C189" s="12" t="n"/>
      <c r="D189" s="12" t="n"/>
      <c r="E189" s="18" t="n"/>
      <c r="F189" s="13" t="n"/>
      <c r="G189" s="19">
        <f>IF(C189="","",IF(IFERROR(INDEX(Teams!$C$5:$C$104,MATCH(B189,Teams!$A$5:$A$104,0))&amp;"","")="","Unmapped",INDEX(Teams!$C$5:$C$104,MATCH(B189,Teams!$A$5:$A$104,0))))</f>
        <v/>
      </c>
      <c r="H189" s="20">
        <f>IF(C189="","",IFERROR(INDEX(Settings!$C$11:$C$25,MATCH(C189&amp;" - "&amp;D189,Settings!$D$11:$D$25,0)),0))</f>
        <v/>
      </c>
      <c r="I189" s="21">
        <f>IF(C189="","",H189*IF(E189="",1,E189/Settings!$B$4))</f>
        <v/>
      </c>
      <c r="J189" s="21">
        <f>IF(OR(C189="",C189="Claude Code"),0,IF(IFERROR(INDEX(Settings!$C$29:$C$31,MATCH(C189,Settings!$A$29:$A$31,0)),"")="",N(F189),IF(SUMIFS($F$5:$F$304,$C$5:$C$304,C189&amp;"")=0,0,N(F189)/SUMIFS($F$5:$F$304,$C$5:$C$304,C189&amp;"")*INDEX(Settings!$C$29:$C$31,MATCH(C189,Settings!$A$29:$A$31,0)))))</f>
        <v/>
      </c>
      <c r="K189" s="21">
        <f>IF(C189="","",I189+J189)</f>
        <v/>
      </c>
      <c r="L189" s="14">
        <f>IF(C189="","",IF(H189=0,IF(ISNUMBER(MATCH(C189&amp;" - "&amp;D189,Settings!$D$11:$D$25,0)),"OK","Tier not in Settings"),IF(G189="Unmapped","Team key not in Teams","OK")))</f>
        <v/>
      </c>
    </row>
    <row r="190">
      <c r="A190" s="12" t="n"/>
      <c r="B190" s="12" t="n"/>
      <c r="C190" s="12" t="n"/>
      <c r="D190" s="12" t="n"/>
      <c r="E190" s="18" t="n"/>
      <c r="F190" s="13" t="n"/>
      <c r="G190" s="19">
        <f>IF(C190="","",IF(IFERROR(INDEX(Teams!$C$5:$C$104,MATCH(B190,Teams!$A$5:$A$104,0))&amp;"","")="","Unmapped",INDEX(Teams!$C$5:$C$104,MATCH(B190,Teams!$A$5:$A$104,0))))</f>
        <v/>
      </c>
      <c r="H190" s="20">
        <f>IF(C190="","",IFERROR(INDEX(Settings!$C$11:$C$25,MATCH(C190&amp;" - "&amp;D190,Settings!$D$11:$D$25,0)),0))</f>
        <v/>
      </c>
      <c r="I190" s="21">
        <f>IF(C190="","",H190*IF(E190="",1,E190/Settings!$B$4))</f>
        <v/>
      </c>
      <c r="J190" s="21">
        <f>IF(OR(C190="",C190="Claude Code"),0,IF(IFERROR(INDEX(Settings!$C$29:$C$31,MATCH(C190,Settings!$A$29:$A$31,0)),"")="",N(F190),IF(SUMIFS($F$5:$F$304,$C$5:$C$304,C190&amp;"")=0,0,N(F190)/SUMIFS($F$5:$F$304,$C$5:$C$304,C190&amp;"")*INDEX(Settings!$C$29:$C$31,MATCH(C190,Settings!$A$29:$A$31,0)))))</f>
        <v/>
      </c>
      <c r="K190" s="21">
        <f>IF(C190="","",I190+J190)</f>
        <v/>
      </c>
      <c r="L190" s="14">
        <f>IF(C190="","",IF(H190=0,IF(ISNUMBER(MATCH(C190&amp;" - "&amp;D190,Settings!$D$11:$D$25,0)),"OK","Tier not in Settings"),IF(G190="Unmapped","Team key not in Teams","OK")))</f>
        <v/>
      </c>
    </row>
    <row r="191">
      <c r="A191" s="12" t="n"/>
      <c r="B191" s="12" t="n"/>
      <c r="C191" s="12" t="n"/>
      <c r="D191" s="12" t="n"/>
      <c r="E191" s="18" t="n"/>
      <c r="F191" s="13" t="n"/>
      <c r="G191" s="19">
        <f>IF(C191="","",IF(IFERROR(INDEX(Teams!$C$5:$C$104,MATCH(B191,Teams!$A$5:$A$104,0))&amp;"","")="","Unmapped",INDEX(Teams!$C$5:$C$104,MATCH(B191,Teams!$A$5:$A$104,0))))</f>
        <v/>
      </c>
      <c r="H191" s="20">
        <f>IF(C191="","",IFERROR(INDEX(Settings!$C$11:$C$25,MATCH(C191&amp;" - "&amp;D191,Settings!$D$11:$D$25,0)),0))</f>
        <v/>
      </c>
      <c r="I191" s="21">
        <f>IF(C191="","",H191*IF(E191="",1,E191/Settings!$B$4))</f>
        <v/>
      </c>
      <c r="J191" s="21">
        <f>IF(OR(C191="",C191="Claude Code"),0,IF(IFERROR(INDEX(Settings!$C$29:$C$31,MATCH(C191,Settings!$A$29:$A$31,0)),"")="",N(F191),IF(SUMIFS($F$5:$F$304,$C$5:$C$304,C191&amp;"")=0,0,N(F191)/SUMIFS($F$5:$F$304,$C$5:$C$304,C191&amp;"")*INDEX(Settings!$C$29:$C$31,MATCH(C191,Settings!$A$29:$A$31,0)))))</f>
        <v/>
      </c>
      <c r="K191" s="21">
        <f>IF(C191="","",I191+J191)</f>
        <v/>
      </c>
      <c r="L191" s="14">
        <f>IF(C191="","",IF(H191=0,IF(ISNUMBER(MATCH(C191&amp;" - "&amp;D191,Settings!$D$11:$D$25,0)),"OK","Tier not in Settings"),IF(G191="Unmapped","Team key not in Teams","OK")))</f>
        <v/>
      </c>
    </row>
    <row r="192">
      <c r="A192" s="12" t="n"/>
      <c r="B192" s="12" t="n"/>
      <c r="C192" s="12" t="n"/>
      <c r="D192" s="12" t="n"/>
      <c r="E192" s="18" t="n"/>
      <c r="F192" s="13" t="n"/>
      <c r="G192" s="19">
        <f>IF(C192="","",IF(IFERROR(INDEX(Teams!$C$5:$C$104,MATCH(B192,Teams!$A$5:$A$104,0))&amp;"","")="","Unmapped",INDEX(Teams!$C$5:$C$104,MATCH(B192,Teams!$A$5:$A$104,0))))</f>
        <v/>
      </c>
      <c r="H192" s="20">
        <f>IF(C192="","",IFERROR(INDEX(Settings!$C$11:$C$25,MATCH(C192&amp;" - "&amp;D192,Settings!$D$11:$D$25,0)),0))</f>
        <v/>
      </c>
      <c r="I192" s="21">
        <f>IF(C192="","",H192*IF(E192="",1,E192/Settings!$B$4))</f>
        <v/>
      </c>
      <c r="J192" s="21">
        <f>IF(OR(C192="",C192="Claude Code"),0,IF(IFERROR(INDEX(Settings!$C$29:$C$31,MATCH(C192,Settings!$A$29:$A$31,0)),"")="",N(F192),IF(SUMIFS($F$5:$F$304,$C$5:$C$304,C192&amp;"")=0,0,N(F192)/SUMIFS($F$5:$F$304,$C$5:$C$304,C192&amp;"")*INDEX(Settings!$C$29:$C$31,MATCH(C192,Settings!$A$29:$A$31,0)))))</f>
        <v/>
      </c>
      <c r="K192" s="21">
        <f>IF(C192="","",I192+J192)</f>
        <v/>
      </c>
      <c r="L192" s="14">
        <f>IF(C192="","",IF(H192=0,IF(ISNUMBER(MATCH(C192&amp;" - "&amp;D192,Settings!$D$11:$D$25,0)),"OK","Tier not in Settings"),IF(G192="Unmapped","Team key not in Teams","OK")))</f>
        <v/>
      </c>
    </row>
    <row r="193">
      <c r="A193" s="12" t="n"/>
      <c r="B193" s="12" t="n"/>
      <c r="C193" s="12" t="n"/>
      <c r="D193" s="12" t="n"/>
      <c r="E193" s="18" t="n"/>
      <c r="F193" s="13" t="n"/>
      <c r="G193" s="19">
        <f>IF(C193="","",IF(IFERROR(INDEX(Teams!$C$5:$C$104,MATCH(B193,Teams!$A$5:$A$104,0))&amp;"","")="","Unmapped",INDEX(Teams!$C$5:$C$104,MATCH(B193,Teams!$A$5:$A$104,0))))</f>
        <v/>
      </c>
      <c r="H193" s="20">
        <f>IF(C193="","",IFERROR(INDEX(Settings!$C$11:$C$25,MATCH(C193&amp;" - "&amp;D193,Settings!$D$11:$D$25,0)),0))</f>
        <v/>
      </c>
      <c r="I193" s="21">
        <f>IF(C193="","",H193*IF(E193="",1,E193/Settings!$B$4))</f>
        <v/>
      </c>
      <c r="J193" s="21">
        <f>IF(OR(C193="",C193="Claude Code"),0,IF(IFERROR(INDEX(Settings!$C$29:$C$31,MATCH(C193,Settings!$A$29:$A$31,0)),"")="",N(F193),IF(SUMIFS($F$5:$F$304,$C$5:$C$304,C193&amp;"")=0,0,N(F193)/SUMIFS($F$5:$F$304,$C$5:$C$304,C193&amp;"")*INDEX(Settings!$C$29:$C$31,MATCH(C193,Settings!$A$29:$A$31,0)))))</f>
        <v/>
      </c>
      <c r="K193" s="21">
        <f>IF(C193="","",I193+J193)</f>
        <v/>
      </c>
      <c r="L193" s="14">
        <f>IF(C193="","",IF(H193=0,IF(ISNUMBER(MATCH(C193&amp;" - "&amp;D193,Settings!$D$11:$D$25,0)),"OK","Tier not in Settings"),IF(G193="Unmapped","Team key not in Teams","OK")))</f>
        <v/>
      </c>
    </row>
    <row r="194">
      <c r="A194" s="12" t="n"/>
      <c r="B194" s="12" t="n"/>
      <c r="C194" s="12" t="n"/>
      <c r="D194" s="12" t="n"/>
      <c r="E194" s="18" t="n"/>
      <c r="F194" s="13" t="n"/>
      <c r="G194" s="19">
        <f>IF(C194="","",IF(IFERROR(INDEX(Teams!$C$5:$C$104,MATCH(B194,Teams!$A$5:$A$104,0))&amp;"","")="","Unmapped",INDEX(Teams!$C$5:$C$104,MATCH(B194,Teams!$A$5:$A$104,0))))</f>
        <v/>
      </c>
      <c r="H194" s="20">
        <f>IF(C194="","",IFERROR(INDEX(Settings!$C$11:$C$25,MATCH(C194&amp;" - "&amp;D194,Settings!$D$11:$D$25,0)),0))</f>
        <v/>
      </c>
      <c r="I194" s="21">
        <f>IF(C194="","",H194*IF(E194="",1,E194/Settings!$B$4))</f>
        <v/>
      </c>
      <c r="J194" s="21">
        <f>IF(OR(C194="",C194="Claude Code"),0,IF(IFERROR(INDEX(Settings!$C$29:$C$31,MATCH(C194,Settings!$A$29:$A$31,0)),"")="",N(F194),IF(SUMIFS($F$5:$F$304,$C$5:$C$304,C194&amp;"")=0,0,N(F194)/SUMIFS($F$5:$F$304,$C$5:$C$304,C194&amp;"")*INDEX(Settings!$C$29:$C$31,MATCH(C194,Settings!$A$29:$A$31,0)))))</f>
        <v/>
      </c>
      <c r="K194" s="21">
        <f>IF(C194="","",I194+J194)</f>
        <v/>
      </c>
      <c r="L194" s="14">
        <f>IF(C194="","",IF(H194=0,IF(ISNUMBER(MATCH(C194&amp;" - "&amp;D194,Settings!$D$11:$D$25,0)),"OK","Tier not in Settings"),IF(G194="Unmapped","Team key not in Teams","OK")))</f>
        <v/>
      </c>
    </row>
    <row r="195">
      <c r="A195" s="12" t="n"/>
      <c r="B195" s="12" t="n"/>
      <c r="C195" s="12" t="n"/>
      <c r="D195" s="12" t="n"/>
      <c r="E195" s="18" t="n"/>
      <c r="F195" s="13" t="n"/>
      <c r="G195" s="19">
        <f>IF(C195="","",IF(IFERROR(INDEX(Teams!$C$5:$C$104,MATCH(B195,Teams!$A$5:$A$104,0))&amp;"","")="","Unmapped",INDEX(Teams!$C$5:$C$104,MATCH(B195,Teams!$A$5:$A$104,0))))</f>
        <v/>
      </c>
      <c r="H195" s="20">
        <f>IF(C195="","",IFERROR(INDEX(Settings!$C$11:$C$25,MATCH(C195&amp;" - "&amp;D195,Settings!$D$11:$D$25,0)),0))</f>
        <v/>
      </c>
      <c r="I195" s="21">
        <f>IF(C195="","",H195*IF(E195="",1,E195/Settings!$B$4))</f>
        <v/>
      </c>
      <c r="J195" s="21">
        <f>IF(OR(C195="",C195="Claude Code"),0,IF(IFERROR(INDEX(Settings!$C$29:$C$31,MATCH(C195,Settings!$A$29:$A$31,0)),"")="",N(F195),IF(SUMIFS($F$5:$F$304,$C$5:$C$304,C195&amp;"")=0,0,N(F195)/SUMIFS($F$5:$F$304,$C$5:$C$304,C195&amp;"")*INDEX(Settings!$C$29:$C$31,MATCH(C195,Settings!$A$29:$A$31,0)))))</f>
        <v/>
      </c>
      <c r="K195" s="21">
        <f>IF(C195="","",I195+J195)</f>
        <v/>
      </c>
      <c r="L195" s="14">
        <f>IF(C195="","",IF(H195=0,IF(ISNUMBER(MATCH(C195&amp;" - "&amp;D195,Settings!$D$11:$D$25,0)),"OK","Tier not in Settings"),IF(G195="Unmapped","Team key not in Teams","OK")))</f>
        <v/>
      </c>
    </row>
    <row r="196">
      <c r="A196" s="12" t="n"/>
      <c r="B196" s="12" t="n"/>
      <c r="C196" s="12" t="n"/>
      <c r="D196" s="12" t="n"/>
      <c r="E196" s="18" t="n"/>
      <c r="F196" s="13" t="n"/>
      <c r="G196" s="19">
        <f>IF(C196="","",IF(IFERROR(INDEX(Teams!$C$5:$C$104,MATCH(B196,Teams!$A$5:$A$104,0))&amp;"","")="","Unmapped",INDEX(Teams!$C$5:$C$104,MATCH(B196,Teams!$A$5:$A$104,0))))</f>
        <v/>
      </c>
      <c r="H196" s="20">
        <f>IF(C196="","",IFERROR(INDEX(Settings!$C$11:$C$25,MATCH(C196&amp;" - "&amp;D196,Settings!$D$11:$D$25,0)),0))</f>
        <v/>
      </c>
      <c r="I196" s="21">
        <f>IF(C196="","",H196*IF(E196="",1,E196/Settings!$B$4))</f>
        <v/>
      </c>
      <c r="J196" s="21">
        <f>IF(OR(C196="",C196="Claude Code"),0,IF(IFERROR(INDEX(Settings!$C$29:$C$31,MATCH(C196,Settings!$A$29:$A$31,0)),"")="",N(F196),IF(SUMIFS($F$5:$F$304,$C$5:$C$304,C196&amp;"")=0,0,N(F196)/SUMIFS($F$5:$F$304,$C$5:$C$304,C196&amp;"")*INDEX(Settings!$C$29:$C$31,MATCH(C196,Settings!$A$29:$A$31,0)))))</f>
        <v/>
      </c>
      <c r="K196" s="21">
        <f>IF(C196="","",I196+J196)</f>
        <v/>
      </c>
      <c r="L196" s="14">
        <f>IF(C196="","",IF(H196=0,IF(ISNUMBER(MATCH(C196&amp;" - "&amp;D196,Settings!$D$11:$D$25,0)),"OK","Tier not in Settings"),IF(G196="Unmapped","Team key not in Teams","OK")))</f>
        <v/>
      </c>
    </row>
    <row r="197">
      <c r="A197" s="12" t="n"/>
      <c r="B197" s="12" t="n"/>
      <c r="C197" s="12" t="n"/>
      <c r="D197" s="12" t="n"/>
      <c r="E197" s="18" t="n"/>
      <c r="F197" s="13" t="n"/>
      <c r="G197" s="19">
        <f>IF(C197="","",IF(IFERROR(INDEX(Teams!$C$5:$C$104,MATCH(B197,Teams!$A$5:$A$104,0))&amp;"","")="","Unmapped",INDEX(Teams!$C$5:$C$104,MATCH(B197,Teams!$A$5:$A$104,0))))</f>
        <v/>
      </c>
      <c r="H197" s="20">
        <f>IF(C197="","",IFERROR(INDEX(Settings!$C$11:$C$25,MATCH(C197&amp;" - "&amp;D197,Settings!$D$11:$D$25,0)),0))</f>
        <v/>
      </c>
      <c r="I197" s="21">
        <f>IF(C197="","",H197*IF(E197="",1,E197/Settings!$B$4))</f>
        <v/>
      </c>
      <c r="J197" s="21">
        <f>IF(OR(C197="",C197="Claude Code"),0,IF(IFERROR(INDEX(Settings!$C$29:$C$31,MATCH(C197,Settings!$A$29:$A$31,0)),"")="",N(F197),IF(SUMIFS($F$5:$F$304,$C$5:$C$304,C197&amp;"")=0,0,N(F197)/SUMIFS($F$5:$F$304,$C$5:$C$304,C197&amp;"")*INDEX(Settings!$C$29:$C$31,MATCH(C197,Settings!$A$29:$A$31,0)))))</f>
        <v/>
      </c>
      <c r="K197" s="21">
        <f>IF(C197="","",I197+J197)</f>
        <v/>
      </c>
      <c r="L197" s="14">
        <f>IF(C197="","",IF(H197=0,IF(ISNUMBER(MATCH(C197&amp;" - "&amp;D197,Settings!$D$11:$D$25,0)),"OK","Tier not in Settings"),IF(G197="Unmapped","Team key not in Teams","OK")))</f>
        <v/>
      </c>
    </row>
    <row r="198">
      <c r="A198" s="12" t="n"/>
      <c r="B198" s="12" t="n"/>
      <c r="C198" s="12" t="n"/>
      <c r="D198" s="12" t="n"/>
      <c r="E198" s="18" t="n"/>
      <c r="F198" s="13" t="n"/>
      <c r="G198" s="19">
        <f>IF(C198="","",IF(IFERROR(INDEX(Teams!$C$5:$C$104,MATCH(B198,Teams!$A$5:$A$104,0))&amp;"","")="","Unmapped",INDEX(Teams!$C$5:$C$104,MATCH(B198,Teams!$A$5:$A$104,0))))</f>
        <v/>
      </c>
      <c r="H198" s="20">
        <f>IF(C198="","",IFERROR(INDEX(Settings!$C$11:$C$25,MATCH(C198&amp;" - "&amp;D198,Settings!$D$11:$D$25,0)),0))</f>
        <v/>
      </c>
      <c r="I198" s="21">
        <f>IF(C198="","",H198*IF(E198="",1,E198/Settings!$B$4))</f>
        <v/>
      </c>
      <c r="J198" s="21">
        <f>IF(OR(C198="",C198="Claude Code"),0,IF(IFERROR(INDEX(Settings!$C$29:$C$31,MATCH(C198,Settings!$A$29:$A$31,0)),"")="",N(F198),IF(SUMIFS($F$5:$F$304,$C$5:$C$304,C198&amp;"")=0,0,N(F198)/SUMIFS($F$5:$F$304,$C$5:$C$304,C198&amp;"")*INDEX(Settings!$C$29:$C$31,MATCH(C198,Settings!$A$29:$A$31,0)))))</f>
        <v/>
      </c>
      <c r="K198" s="21">
        <f>IF(C198="","",I198+J198)</f>
        <v/>
      </c>
      <c r="L198" s="14">
        <f>IF(C198="","",IF(H198=0,IF(ISNUMBER(MATCH(C198&amp;" - "&amp;D198,Settings!$D$11:$D$25,0)),"OK","Tier not in Settings"),IF(G198="Unmapped","Team key not in Teams","OK")))</f>
        <v/>
      </c>
    </row>
    <row r="199">
      <c r="A199" s="12" t="n"/>
      <c r="B199" s="12" t="n"/>
      <c r="C199" s="12" t="n"/>
      <c r="D199" s="12" t="n"/>
      <c r="E199" s="18" t="n"/>
      <c r="F199" s="13" t="n"/>
      <c r="G199" s="19">
        <f>IF(C199="","",IF(IFERROR(INDEX(Teams!$C$5:$C$104,MATCH(B199,Teams!$A$5:$A$104,0))&amp;"","")="","Unmapped",INDEX(Teams!$C$5:$C$104,MATCH(B199,Teams!$A$5:$A$104,0))))</f>
        <v/>
      </c>
      <c r="H199" s="20">
        <f>IF(C199="","",IFERROR(INDEX(Settings!$C$11:$C$25,MATCH(C199&amp;" - "&amp;D199,Settings!$D$11:$D$25,0)),0))</f>
        <v/>
      </c>
      <c r="I199" s="21">
        <f>IF(C199="","",H199*IF(E199="",1,E199/Settings!$B$4))</f>
        <v/>
      </c>
      <c r="J199" s="21">
        <f>IF(OR(C199="",C199="Claude Code"),0,IF(IFERROR(INDEX(Settings!$C$29:$C$31,MATCH(C199,Settings!$A$29:$A$31,0)),"")="",N(F199),IF(SUMIFS($F$5:$F$304,$C$5:$C$304,C199&amp;"")=0,0,N(F199)/SUMIFS($F$5:$F$304,$C$5:$C$304,C199&amp;"")*INDEX(Settings!$C$29:$C$31,MATCH(C199,Settings!$A$29:$A$31,0)))))</f>
        <v/>
      </c>
      <c r="K199" s="21">
        <f>IF(C199="","",I199+J199)</f>
        <v/>
      </c>
      <c r="L199" s="14">
        <f>IF(C199="","",IF(H199=0,IF(ISNUMBER(MATCH(C199&amp;" - "&amp;D199,Settings!$D$11:$D$25,0)),"OK","Tier not in Settings"),IF(G199="Unmapped","Team key not in Teams","OK")))</f>
        <v/>
      </c>
    </row>
    <row r="200">
      <c r="A200" s="12" t="n"/>
      <c r="B200" s="12" t="n"/>
      <c r="C200" s="12" t="n"/>
      <c r="D200" s="12" t="n"/>
      <c r="E200" s="18" t="n"/>
      <c r="F200" s="13" t="n"/>
      <c r="G200" s="19">
        <f>IF(C200="","",IF(IFERROR(INDEX(Teams!$C$5:$C$104,MATCH(B200,Teams!$A$5:$A$104,0))&amp;"","")="","Unmapped",INDEX(Teams!$C$5:$C$104,MATCH(B200,Teams!$A$5:$A$104,0))))</f>
        <v/>
      </c>
      <c r="H200" s="20">
        <f>IF(C200="","",IFERROR(INDEX(Settings!$C$11:$C$25,MATCH(C200&amp;" - "&amp;D200,Settings!$D$11:$D$25,0)),0))</f>
        <v/>
      </c>
      <c r="I200" s="21">
        <f>IF(C200="","",H200*IF(E200="",1,E200/Settings!$B$4))</f>
        <v/>
      </c>
      <c r="J200" s="21">
        <f>IF(OR(C200="",C200="Claude Code"),0,IF(IFERROR(INDEX(Settings!$C$29:$C$31,MATCH(C200,Settings!$A$29:$A$31,0)),"")="",N(F200),IF(SUMIFS($F$5:$F$304,$C$5:$C$304,C200&amp;"")=0,0,N(F200)/SUMIFS($F$5:$F$304,$C$5:$C$304,C200&amp;"")*INDEX(Settings!$C$29:$C$31,MATCH(C200,Settings!$A$29:$A$31,0)))))</f>
        <v/>
      </c>
      <c r="K200" s="21">
        <f>IF(C200="","",I200+J200)</f>
        <v/>
      </c>
      <c r="L200" s="14">
        <f>IF(C200="","",IF(H200=0,IF(ISNUMBER(MATCH(C200&amp;" - "&amp;D200,Settings!$D$11:$D$25,0)),"OK","Tier not in Settings"),IF(G200="Unmapped","Team key not in Teams","OK")))</f>
        <v/>
      </c>
    </row>
    <row r="201">
      <c r="A201" s="12" t="n"/>
      <c r="B201" s="12" t="n"/>
      <c r="C201" s="12" t="n"/>
      <c r="D201" s="12" t="n"/>
      <c r="E201" s="18" t="n"/>
      <c r="F201" s="13" t="n"/>
      <c r="G201" s="19">
        <f>IF(C201="","",IF(IFERROR(INDEX(Teams!$C$5:$C$104,MATCH(B201,Teams!$A$5:$A$104,0))&amp;"","")="","Unmapped",INDEX(Teams!$C$5:$C$104,MATCH(B201,Teams!$A$5:$A$104,0))))</f>
        <v/>
      </c>
      <c r="H201" s="20">
        <f>IF(C201="","",IFERROR(INDEX(Settings!$C$11:$C$25,MATCH(C201&amp;" - "&amp;D201,Settings!$D$11:$D$25,0)),0))</f>
        <v/>
      </c>
      <c r="I201" s="21">
        <f>IF(C201="","",H201*IF(E201="",1,E201/Settings!$B$4))</f>
        <v/>
      </c>
      <c r="J201" s="21">
        <f>IF(OR(C201="",C201="Claude Code"),0,IF(IFERROR(INDEX(Settings!$C$29:$C$31,MATCH(C201,Settings!$A$29:$A$31,0)),"")="",N(F201),IF(SUMIFS($F$5:$F$304,$C$5:$C$304,C201&amp;"")=0,0,N(F201)/SUMIFS($F$5:$F$304,$C$5:$C$304,C201&amp;"")*INDEX(Settings!$C$29:$C$31,MATCH(C201,Settings!$A$29:$A$31,0)))))</f>
        <v/>
      </c>
      <c r="K201" s="21">
        <f>IF(C201="","",I201+J201)</f>
        <v/>
      </c>
      <c r="L201" s="14">
        <f>IF(C201="","",IF(H201=0,IF(ISNUMBER(MATCH(C201&amp;" - "&amp;D201,Settings!$D$11:$D$25,0)),"OK","Tier not in Settings"),IF(G201="Unmapped","Team key not in Teams","OK")))</f>
        <v/>
      </c>
    </row>
    <row r="202">
      <c r="A202" s="12" t="n"/>
      <c r="B202" s="12" t="n"/>
      <c r="C202" s="12" t="n"/>
      <c r="D202" s="12" t="n"/>
      <c r="E202" s="18" t="n"/>
      <c r="F202" s="13" t="n"/>
      <c r="G202" s="19">
        <f>IF(C202="","",IF(IFERROR(INDEX(Teams!$C$5:$C$104,MATCH(B202,Teams!$A$5:$A$104,0))&amp;"","")="","Unmapped",INDEX(Teams!$C$5:$C$104,MATCH(B202,Teams!$A$5:$A$104,0))))</f>
        <v/>
      </c>
      <c r="H202" s="20">
        <f>IF(C202="","",IFERROR(INDEX(Settings!$C$11:$C$25,MATCH(C202&amp;" - "&amp;D202,Settings!$D$11:$D$25,0)),0))</f>
        <v/>
      </c>
      <c r="I202" s="21">
        <f>IF(C202="","",H202*IF(E202="",1,E202/Settings!$B$4))</f>
        <v/>
      </c>
      <c r="J202" s="21">
        <f>IF(OR(C202="",C202="Claude Code"),0,IF(IFERROR(INDEX(Settings!$C$29:$C$31,MATCH(C202,Settings!$A$29:$A$31,0)),"")="",N(F202),IF(SUMIFS($F$5:$F$304,$C$5:$C$304,C202&amp;"")=0,0,N(F202)/SUMIFS($F$5:$F$304,$C$5:$C$304,C202&amp;"")*INDEX(Settings!$C$29:$C$31,MATCH(C202,Settings!$A$29:$A$31,0)))))</f>
        <v/>
      </c>
      <c r="K202" s="21">
        <f>IF(C202="","",I202+J202)</f>
        <v/>
      </c>
      <c r="L202" s="14">
        <f>IF(C202="","",IF(H202=0,IF(ISNUMBER(MATCH(C202&amp;" - "&amp;D202,Settings!$D$11:$D$25,0)),"OK","Tier not in Settings"),IF(G202="Unmapped","Team key not in Teams","OK")))</f>
        <v/>
      </c>
    </row>
    <row r="203">
      <c r="A203" s="12" t="n"/>
      <c r="B203" s="12" t="n"/>
      <c r="C203" s="12" t="n"/>
      <c r="D203" s="12" t="n"/>
      <c r="E203" s="18" t="n"/>
      <c r="F203" s="13" t="n"/>
      <c r="G203" s="19">
        <f>IF(C203="","",IF(IFERROR(INDEX(Teams!$C$5:$C$104,MATCH(B203,Teams!$A$5:$A$104,0))&amp;"","")="","Unmapped",INDEX(Teams!$C$5:$C$104,MATCH(B203,Teams!$A$5:$A$104,0))))</f>
        <v/>
      </c>
      <c r="H203" s="20">
        <f>IF(C203="","",IFERROR(INDEX(Settings!$C$11:$C$25,MATCH(C203&amp;" - "&amp;D203,Settings!$D$11:$D$25,0)),0))</f>
        <v/>
      </c>
      <c r="I203" s="21">
        <f>IF(C203="","",H203*IF(E203="",1,E203/Settings!$B$4))</f>
        <v/>
      </c>
      <c r="J203" s="21">
        <f>IF(OR(C203="",C203="Claude Code"),0,IF(IFERROR(INDEX(Settings!$C$29:$C$31,MATCH(C203,Settings!$A$29:$A$31,0)),"")="",N(F203),IF(SUMIFS($F$5:$F$304,$C$5:$C$304,C203&amp;"")=0,0,N(F203)/SUMIFS($F$5:$F$304,$C$5:$C$304,C203&amp;"")*INDEX(Settings!$C$29:$C$31,MATCH(C203,Settings!$A$29:$A$31,0)))))</f>
        <v/>
      </c>
      <c r="K203" s="21">
        <f>IF(C203="","",I203+J203)</f>
        <v/>
      </c>
      <c r="L203" s="14">
        <f>IF(C203="","",IF(H203=0,IF(ISNUMBER(MATCH(C203&amp;" - "&amp;D203,Settings!$D$11:$D$25,0)),"OK","Tier not in Settings"),IF(G203="Unmapped","Team key not in Teams","OK")))</f>
        <v/>
      </c>
    </row>
    <row r="204">
      <c r="A204" s="12" t="n"/>
      <c r="B204" s="12" t="n"/>
      <c r="C204" s="12" t="n"/>
      <c r="D204" s="12" t="n"/>
      <c r="E204" s="18" t="n"/>
      <c r="F204" s="13" t="n"/>
      <c r="G204" s="19">
        <f>IF(C204="","",IF(IFERROR(INDEX(Teams!$C$5:$C$104,MATCH(B204,Teams!$A$5:$A$104,0))&amp;"","")="","Unmapped",INDEX(Teams!$C$5:$C$104,MATCH(B204,Teams!$A$5:$A$104,0))))</f>
        <v/>
      </c>
      <c r="H204" s="20">
        <f>IF(C204="","",IFERROR(INDEX(Settings!$C$11:$C$25,MATCH(C204&amp;" - "&amp;D204,Settings!$D$11:$D$25,0)),0))</f>
        <v/>
      </c>
      <c r="I204" s="21">
        <f>IF(C204="","",H204*IF(E204="",1,E204/Settings!$B$4))</f>
        <v/>
      </c>
      <c r="J204" s="21">
        <f>IF(OR(C204="",C204="Claude Code"),0,IF(IFERROR(INDEX(Settings!$C$29:$C$31,MATCH(C204,Settings!$A$29:$A$31,0)),"")="",N(F204),IF(SUMIFS($F$5:$F$304,$C$5:$C$304,C204&amp;"")=0,0,N(F204)/SUMIFS($F$5:$F$304,$C$5:$C$304,C204&amp;"")*INDEX(Settings!$C$29:$C$31,MATCH(C204,Settings!$A$29:$A$31,0)))))</f>
        <v/>
      </c>
      <c r="K204" s="21">
        <f>IF(C204="","",I204+J204)</f>
        <v/>
      </c>
      <c r="L204" s="14">
        <f>IF(C204="","",IF(H204=0,IF(ISNUMBER(MATCH(C204&amp;" - "&amp;D204,Settings!$D$11:$D$25,0)),"OK","Tier not in Settings"),IF(G204="Unmapped","Team key not in Teams","OK")))</f>
        <v/>
      </c>
    </row>
    <row r="205">
      <c r="A205" s="12" t="n"/>
      <c r="B205" s="12" t="n"/>
      <c r="C205" s="12" t="n"/>
      <c r="D205" s="12" t="n"/>
      <c r="E205" s="18" t="n"/>
      <c r="F205" s="13" t="n"/>
      <c r="G205" s="19">
        <f>IF(C205="","",IF(IFERROR(INDEX(Teams!$C$5:$C$104,MATCH(B205,Teams!$A$5:$A$104,0))&amp;"","")="","Unmapped",INDEX(Teams!$C$5:$C$104,MATCH(B205,Teams!$A$5:$A$104,0))))</f>
        <v/>
      </c>
      <c r="H205" s="20">
        <f>IF(C205="","",IFERROR(INDEX(Settings!$C$11:$C$25,MATCH(C205&amp;" - "&amp;D205,Settings!$D$11:$D$25,0)),0))</f>
        <v/>
      </c>
      <c r="I205" s="21">
        <f>IF(C205="","",H205*IF(E205="",1,E205/Settings!$B$4))</f>
        <v/>
      </c>
      <c r="J205" s="21">
        <f>IF(OR(C205="",C205="Claude Code"),0,IF(IFERROR(INDEX(Settings!$C$29:$C$31,MATCH(C205,Settings!$A$29:$A$31,0)),"")="",N(F205),IF(SUMIFS($F$5:$F$304,$C$5:$C$304,C205&amp;"")=0,0,N(F205)/SUMIFS($F$5:$F$304,$C$5:$C$304,C205&amp;"")*INDEX(Settings!$C$29:$C$31,MATCH(C205,Settings!$A$29:$A$31,0)))))</f>
        <v/>
      </c>
      <c r="K205" s="21">
        <f>IF(C205="","",I205+J205)</f>
        <v/>
      </c>
      <c r="L205" s="14">
        <f>IF(C205="","",IF(H205=0,IF(ISNUMBER(MATCH(C205&amp;" - "&amp;D205,Settings!$D$11:$D$25,0)),"OK","Tier not in Settings"),IF(G205="Unmapped","Team key not in Teams","OK")))</f>
        <v/>
      </c>
    </row>
    <row r="206">
      <c r="A206" s="12" t="n"/>
      <c r="B206" s="12" t="n"/>
      <c r="C206" s="12" t="n"/>
      <c r="D206" s="12" t="n"/>
      <c r="E206" s="18" t="n"/>
      <c r="F206" s="13" t="n"/>
      <c r="G206" s="19">
        <f>IF(C206="","",IF(IFERROR(INDEX(Teams!$C$5:$C$104,MATCH(B206,Teams!$A$5:$A$104,0))&amp;"","")="","Unmapped",INDEX(Teams!$C$5:$C$104,MATCH(B206,Teams!$A$5:$A$104,0))))</f>
        <v/>
      </c>
      <c r="H206" s="20">
        <f>IF(C206="","",IFERROR(INDEX(Settings!$C$11:$C$25,MATCH(C206&amp;" - "&amp;D206,Settings!$D$11:$D$25,0)),0))</f>
        <v/>
      </c>
      <c r="I206" s="21">
        <f>IF(C206="","",H206*IF(E206="",1,E206/Settings!$B$4))</f>
        <v/>
      </c>
      <c r="J206" s="21">
        <f>IF(OR(C206="",C206="Claude Code"),0,IF(IFERROR(INDEX(Settings!$C$29:$C$31,MATCH(C206,Settings!$A$29:$A$31,0)),"")="",N(F206),IF(SUMIFS($F$5:$F$304,$C$5:$C$304,C206&amp;"")=0,0,N(F206)/SUMIFS($F$5:$F$304,$C$5:$C$304,C206&amp;"")*INDEX(Settings!$C$29:$C$31,MATCH(C206,Settings!$A$29:$A$31,0)))))</f>
        <v/>
      </c>
      <c r="K206" s="21">
        <f>IF(C206="","",I206+J206)</f>
        <v/>
      </c>
      <c r="L206" s="14">
        <f>IF(C206="","",IF(H206=0,IF(ISNUMBER(MATCH(C206&amp;" - "&amp;D206,Settings!$D$11:$D$25,0)),"OK","Tier not in Settings"),IF(G206="Unmapped","Team key not in Teams","OK")))</f>
        <v/>
      </c>
    </row>
    <row r="207">
      <c r="A207" s="12" t="n"/>
      <c r="B207" s="12" t="n"/>
      <c r="C207" s="12" t="n"/>
      <c r="D207" s="12" t="n"/>
      <c r="E207" s="18" t="n"/>
      <c r="F207" s="13" t="n"/>
      <c r="G207" s="19">
        <f>IF(C207="","",IF(IFERROR(INDEX(Teams!$C$5:$C$104,MATCH(B207,Teams!$A$5:$A$104,0))&amp;"","")="","Unmapped",INDEX(Teams!$C$5:$C$104,MATCH(B207,Teams!$A$5:$A$104,0))))</f>
        <v/>
      </c>
      <c r="H207" s="20">
        <f>IF(C207="","",IFERROR(INDEX(Settings!$C$11:$C$25,MATCH(C207&amp;" - "&amp;D207,Settings!$D$11:$D$25,0)),0))</f>
        <v/>
      </c>
      <c r="I207" s="21">
        <f>IF(C207="","",H207*IF(E207="",1,E207/Settings!$B$4))</f>
        <v/>
      </c>
      <c r="J207" s="21">
        <f>IF(OR(C207="",C207="Claude Code"),0,IF(IFERROR(INDEX(Settings!$C$29:$C$31,MATCH(C207,Settings!$A$29:$A$31,0)),"")="",N(F207),IF(SUMIFS($F$5:$F$304,$C$5:$C$304,C207&amp;"")=0,0,N(F207)/SUMIFS($F$5:$F$304,$C$5:$C$304,C207&amp;"")*INDEX(Settings!$C$29:$C$31,MATCH(C207,Settings!$A$29:$A$31,0)))))</f>
        <v/>
      </c>
      <c r="K207" s="21">
        <f>IF(C207="","",I207+J207)</f>
        <v/>
      </c>
      <c r="L207" s="14">
        <f>IF(C207="","",IF(H207=0,IF(ISNUMBER(MATCH(C207&amp;" - "&amp;D207,Settings!$D$11:$D$25,0)),"OK","Tier not in Settings"),IF(G207="Unmapped","Team key not in Teams","OK")))</f>
        <v/>
      </c>
    </row>
    <row r="208">
      <c r="A208" s="12" t="n"/>
      <c r="B208" s="12" t="n"/>
      <c r="C208" s="12" t="n"/>
      <c r="D208" s="12" t="n"/>
      <c r="E208" s="18" t="n"/>
      <c r="F208" s="13" t="n"/>
      <c r="G208" s="19">
        <f>IF(C208="","",IF(IFERROR(INDEX(Teams!$C$5:$C$104,MATCH(B208,Teams!$A$5:$A$104,0))&amp;"","")="","Unmapped",INDEX(Teams!$C$5:$C$104,MATCH(B208,Teams!$A$5:$A$104,0))))</f>
        <v/>
      </c>
      <c r="H208" s="20">
        <f>IF(C208="","",IFERROR(INDEX(Settings!$C$11:$C$25,MATCH(C208&amp;" - "&amp;D208,Settings!$D$11:$D$25,0)),0))</f>
        <v/>
      </c>
      <c r="I208" s="21">
        <f>IF(C208="","",H208*IF(E208="",1,E208/Settings!$B$4))</f>
        <v/>
      </c>
      <c r="J208" s="21">
        <f>IF(OR(C208="",C208="Claude Code"),0,IF(IFERROR(INDEX(Settings!$C$29:$C$31,MATCH(C208,Settings!$A$29:$A$31,0)),"")="",N(F208),IF(SUMIFS($F$5:$F$304,$C$5:$C$304,C208&amp;"")=0,0,N(F208)/SUMIFS($F$5:$F$304,$C$5:$C$304,C208&amp;"")*INDEX(Settings!$C$29:$C$31,MATCH(C208,Settings!$A$29:$A$31,0)))))</f>
        <v/>
      </c>
      <c r="K208" s="21">
        <f>IF(C208="","",I208+J208)</f>
        <v/>
      </c>
      <c r="L208" s="14">
        <f>IF(C208="","",IF(H208=0,IF(ISNUMBER(MATCH(C208&amp;" - "&amp;D208,Settings!$D$11:$D$25,0)),"OK","Tier not in Settings"),IF(G208="Unmapped","Team key not in Teams","OK")))</f>
        <v/>
      </c>
    </row>
    <row r="209">
      <c r="A209" s="12" t="n"/>
      <c r="B209" s="12" t="n"/>
      <c r="C209" s="12" t="n"/>
      <c r="D209" s="12" t="n"/>
      <c r="E209" s="18" t="n"/>
      <c r="F209" s="13" t="n"/>
      <c r="G209" s="19">
        <f>IF(C209="","",IF(IFERROR(INDEX(Teams!$C$5:$C$104,MATCH(B209,Teams!$A$5:$A$104,0))&amp;"","")="","Unmapped",INDEX(Teams!$C$5:$C$104,MATCH(B209,Teams!$A$5:$A$104,0))))</f>
        <v/>
      </c>
      <c r="H209" s="20">
        <f>IF(C209="","",IFERROR(INDEX(Settings!$C$11:$C$25,MATCH(C209&amp;" - "&amp;D209,Settings!$D$11:$D$25,0)),0))</f>
        <v/>
      </c>
      <c r="I209" s="21">
        <f>IF(C209="","",H209*IF(E209="",1,E209/Settings!$B$4))</f>
        <v/>
      </c>
      <c r="J209" s="21">
        <f>IF(OR(C209="",C209="Claude Code"),0,IF(IFERROR(INDEX(Settings!$C$29:$C$31,MATCH(C209,Settings!$A$29:$A$31,0)),"")="",N(F209),IF(SUMIFS($F$5:$F$304,$C$5:$C$304,C209&amp;"")=0,0,N(F209)/SUMIFS($F$5:$F$304,$C$5:$C$304,C209&amp;"")*INDEX(Settings!$C$29:$C$31,MATCH(C209,Settings!$A$29:$A$31,0)))))</f>
        <v/>
      </c>
      <c r="K209" s="21">
        <f>IF(C209="","",I209+J209)</f>
        <v/>
      </c>
      <c r="L209" s="14">
        <f>IF(C209="","",IF(H209=0,IF(ISNUMBER(MATCH(C209&amp;" - "&amp;D209,Settings!$D$11:$D$25,0)),"OK","Tier not in Settings"),IF(G209="Unmapped","Team key not in Teams","OK")))</f>
        <v/>
      </c>
    </row>
    <row r="210">
      <c r="A210" s="12" t="n"/>
      <c r="B210" s="12" t="n"/>
      <c r="C210" s="12" t="n"/>
      <c r="D210" s="12" t="n"/>
      <c r="E210" s="18" t="n"/>
      <c r="F210" s="13" t="n"/>
      <c r="G210" s="19">
        <f>IF(C210="","",IF(IFERROR(INDEX(Teams!$C$5:$C$104,MATCH(B210,Teams!$A$5:$A$104,0))&amp;"","")="","Unmapped",INDEX(Teams!$C$5:$C$104,MATCH(B210,Teams!$A$5:$A$104,0))))</f>
        <v/>
      </c>
      <c r="H210" s="20">
        <f>IF(C210="","",IFERROR(INDEX(Settings!$C$11:$C$25,MATCH(C210&amp;" - "&amp;D210,Settings!$D$11:$D$25,0)),0))</f>
        <v/>
      </c>
      <c r="I210" s="21">
        <f>IF(C210="","",H210*IF(E210="",1,E210/Settings!$B$4))</f>
        <v/>
      </c>
      <c r="J210" s="21">
        <f>IF(OR(C210="",C210="Claude Code"),0,IF(IFERROR(INDEX(Settings!$C$29:$C$31,MATCH(C210,Settings!$A$29:$A$31,0)),"")="",N(F210),IF(SUMIFS($F$5:$F$304,$C$5:$C$304,C210&amp;"")=0,0,N(F210)/SUMIFS($F$5:$F$304,$C$5:$C$304,C210&amp;"")*INDEX(Settings!$C$29:$C$31,MATCH(C210,Settings!$A$29:$A$31,0)))))</f>
        <v/>
      </c>
      <c r="K210" s="21">
        <f>IF(C210="","",I210+J210)</f>
        <v/>
      </c>
      <c r="L210" s="14">
        <f>IF(C210="","",IF(H210=0,IF(ISNUMBER(MATCH(C210&amp;" - "&amp;D210,Settings!$D$11:$D$25,0)),"OK","Tier not in Settings"),IF(G210="Unmapped","Team key not in Teams","OK")))</f>
        <v/>
      </c>
    </row>
    <row r="211">
      <c r="A211" s="12" t="n"/>
      <c r="B211" s="12" t="n"/>
      <c r="C211" s="12" t="n"/>
      <c r="D211" s="12" t="n"/>
      <c r="E211" s="18" t="n"/>
      <c r="F211" s="13" t="n"/>
      <c r="G211" s="19">
        <f>IF(C211="","",IF(IFERROR(INDEX(Teams!$C$5:$C$104,MATCH(B211,Teams!$A$5:$A$104,0))&amp;"","")="","Unmapped",INDEX(Teams!$C$5:$C$104,MATCH(B211,Teams!$A$5:$A$104,0))))</f>
        <v/>
      </c>
      <c r="H211" s="20">
        <f>IF(C211="","",IFERROR(INDEX(Settings!$C$11:$C$25,MATCH(C211&amp;" - "&amp;D211,Settings!$D$11:$D$25,0)),0))</f>
        <v/>
      </c>
      <c r="I211" s="21">
        <f>IF(C211="","",H211*IF(E211="",1,E211/Settings!$B$4))</f>
        <v/>
      </c>
      <c r="J211" s="21">
        <f>IF(OR(C211="",C211="Claude Code"),0,IF(IFERROR(INDEX(Settings!$C$29:$C$31,MATCH(C211,Settings!$A$29:$A$31,0)),"")="",N(F211),IF(SUMIFS($F$5:$F$304,$C$5:$C$304,C211&amp;"")=0,0,N(F211)/SUMIFS($F$5:$F$304,$C$5:$C$304,C211&amp;"")*INDEX(Settings!$C$29:$C$31,MATCH(C211,Settings!$A$29:$A$31,0)))))</f>
        <v/>
      </c>
      <c r="K211" s="21">
        <f>IF(C211="","",I211+J211)</f>
        <v/>
      </c>
      <c r="L211" s="14">
        <f>IF(C211="","",IF(H211=0,IF(ISNUMBER(MATCH(C211&amp;" - "&amp;D211,Settings!$D$11:$D$25,0)),"OK","Tier not in Settings"),IF(G211="Unmapped","Team key not in Teams","OK")))</f>
        <v/>
      </c>
    </row>
    <row r="212">
      <c r="A212" s="12" t="n"/>
      <c r="B212" s="12" t="n"/>
      <c r="C212" s="12" t="n"/>
      <c r="D212" s="12" t="n"/>
      <c r="E212" s="18" t="n"/>
      <c r="F212" s="13" t="n"/>
      <c r="G212" s="19">
        <f>IF(C212="","",IF(IFERROR(INDEX(Teams!$C$5:$C$104,MATCH(B212,Teams!$A$5:$A$104,0))&amp;"","")="","Unmapped",INDEX(Teams!$C$5:$C$104,MATCH(B212,Teams!$A$5:$A$104,0))))</f>
        <v/>
      </c>
      <c r="H212" s="20">
        <f>IF(C212="","",IFERROR(INDEX(Settings!$C$11:$C$25,MATCH(C212&amp;" - "&amp;D212,Settings!$D$11:$D$25,0)),0))</f>
        <v/>
      </c>
      <c r="I212" s="21">
        <f>IF(C212="","",H212*IF(E212="",1,E212/Settings!$B$4))</f>
        <v/>
      </c>
      <c r="J212" s="21">
        <f>IF(OR(C212="",C212="Claude Code"),0,IF(IFERROR(INDEX(Settings!$C$29:$C$31,MATCH(C212,Settings!$A$29:$A$31,0)),"")="",N(F212),IF(SUMIFS($F$5:$F$304,$C$5:$C$304,C212&amp;"")=0,0,N(F212)/SUMIFS($F$5:$F$304,$C$5:$C$304,C212&amp;"")*INDEX(Settings!$C$29:$C$31,MATCH(C212,Settings!$A$29:$A$31,0)))))</f>
        <v/>
      </c>
      <c r="K212" s="21">
        <f>IF(C212="","",I212+J212)</f>
        <v/>
      </c>
      <c r="L212" s="14">
        <f>IF(C212="","",IF(H212=0,IF(ISNUMBER(MATCH(C212&amp;" - "&amp;D212,Settings!$D$11:$D$25,0)),"OK","Tier not in Settings"),IF(G212="Unmapped","Team key not in Teams","OK")))</f>
        <v/>
      </c>
    </row>
    <row r="213">
      <c r="A213" s="12" t="n"/>
      <c r="B213" s="12" t="n"/>
      <c r="C213" s="12" t="n"/>
      <c r="D213" s="12" t="n"/>
      <c r="E213" s="18" t="n"/>
      <c r="F213" s="13" t="n"/>
      <c r="G213" s="19">
        <f>IF(C213="","",IF(IFERROR(INDEX(Teams!$C$5:$C$104,MATCH(B213,Teams!$A$5:$A$104,0))&amp;"","")="","Unmapped",INDEX(Teams!$C$5:$C$104,MATCH(B213,Teams!$A$5:$A$104,0))))</f>
        <v/>
      </c>
      <c r="H213" s="20">
        <f>IF(C213="","",IFERROR(INDEX(Settings!$C$11:$C$25,MATCH(C213&amp;" - "&amp;D213,Settings!$D$11:$D$25,0)),0))</f>
        <v/>
      </c>
      <c r="I213" s="21">
        <f>IF(C213="","",H213*IF(E213="",1,E213/Settings!$B$4))</f>
        <v/>
      </c>
      <c r="J213" s="21">
        <f>IF(OR(C213="",C213="Claude Code"),0,IF(IFERROR(INDEX(Settings!$C$29:$C$31,MATCH(C213,Settings!$A$29:$A$31,0)),"")="",N(F213),IF(SUMIFS($F$5:$F$304,$C$5:$C$304,C213&amp;"")=0,0,N(F213)/SUMIFS($F$5:$F$304,$C$5:$C$304,C213&amp;"")*INDEX(Settings!$C$29:$C$31,MATCH(C213,Settings!$A$29:$A$31,0)))))</f>
        <v/>
      </c>
      <c r="K213" s="21">
        <f>IF(C213="","",I213+J213)</f>
        <v/>
      </c>
      <c r="L213" s="14">
        <f>IF(C213="","",IF(H213=0,IF(ISNUMBER(MATCH(C213&amp;" - "&amp;D213,Settings!$D$11:$D$25,0)),"OK","Tier not in Settings"),IF(G213="Unmapped","Team key not in Teams","OK")))</f>
        <v/>
      </c>
    </row>
    <row r="214">
      <c r="A214" s="12" t="n"/>
      <c r="B214" s="12" t="n"/>
      <c r="C214" s="12" t="n"/>
      <c r="D214" s="12" t="n"/>
      <c r="E214" s="18" t="n"/>
      <c r="F214" s="13" t="n"/>
      <c r="G214" s="19">
        <f>IF(C214="","",IF(IFERROR(INDEX(Teams!$C$5:$C$104,MATCH(B214,Teams!$A$5:$A$104,0))&amp;"","")="","Unmapped",INDEX(Teams!$C$5:$C$104,MATCH(B214,Teams!$A$5:$A$104,0))))</f>
        <v/>
      </c>
      <c r="H214" s="20">
        <f>IF(C214="","",IFERROR(INDEX(Settings!$C$11:$C$25,MATCH(C214&amp;" - "&amp;D214,Settings!$D$11:$D$25,0)),0))</f>
        <v/>
      </c>
      <c r="I214" s="21">
        <f>IF(C214="","",H214*IF(E214="",1,E214/Settings!$B$4))</f>
        <v/>
      </c>
      <c r="J214" s="21">
        <f>IF(OR(C214="",C214="Claude Code"),0,IF(IFERROR(INDEX(Settings!$C$29:$C$31,MATCH(C214,Settings!$A$29:$A$31,0)),"")="",N(F214),IF(SUMIFS($F$5:$F$304,$C$5:$C$304,C214&amp;"")=0,0,N(F214)/SUMIFS($F$5:$F$304,$C$5:$C$304,C214&amp;"")*INDEX(Settings!$C$29:$C$31,MATCH(C214,Settings!$A$29:$A$31,0)))))</f>
        <v/>
      </c>
      <c r="K214" s="21">
        <f>IF(C214="","",I214+J214)</f>
        <v/>
      </c>
      <c r="L214" s="14">
        <f>IF(C214="","",IF(H214=0,IF(ISNUMBER(MATCH(C214&amp;" - "&amp;D214,Settings!$D$11:$D$25,0)),"OK","Tier not in Settings"),IF(G214="Unmapped","Team key not in Teams","OK")))</f>
        <v/>
      </c>
    </row>
    <row r="215">
      <c r="A215" s="12" t="n"/>
      <c r="B215" s="12" t="n"/>
      <c r="C215" s="12" t="n"/>
      <c r="D215" s="12" t="n"/>
      <c r="E215" s="18" t="n"/>
      <c r="F215" s="13" t="n"/>
      <c r="G215" s="19">
        <f>IF(C215="","",IF(IFERROR(INDEX(Teams!$C$5:$C$104,MATCH(B215,Teams!$A$5:$A$104,0))&amp;"","")="","Unmapped",INDEX(Teams!$C$5:$C$104,MATCH(B215,Teams!$A$5:$A$104,0))))</f>
        <v/>
      </c>
      <c r="H215" s="20">
        <f>IF(C215="","",IFERROR(INDEX(Settings!$C$11:$C$25,MATCH(C215&amp;" - "&amp;D215,Settings!$D$11:$D$25,0)),0))</f>
        <v/>
      </c>
      <c r="I215" s="21">
        <f>IF(C215="","",H215*IF(E215="",1,E215/Settings!$B$4))</f>
        <v/>
      </c>
      <c r="J215" s="21">
        <f>IF(OR(C215="",C215="Claude Code"),0,IF(IFERROR(INDEX(Settings!$C$29:$C$31,MATCH(C215,Settings!$A$29:$A$31,0)),"")="",N(F215),IF(SUMIFS($F$5:$F$304,$C$5:$C$304,C215&amp;"")=0,0,N(F215)/SUMIFS($F$5:$F$304,$C$5:$C$304,C215&amp;"")*INDEX(Settings!$C$29:$C$31,MATCH(C215,Settings!$A$29:$A$31,0)))))</f>
        <v/>
      </c>
      <c r="K215" s="21">
        <f>IF(C215="","",I215+J215)</f>
        <v/>
      </c>
      <c r="L215" s="14">
        <f>IF(C215="","",IF(H215=0,IF(ISNUMBER(MATCH(C215&amp;" - "&amp;D215,Settings!$D$11:$D$25,0)),"OK","Tier not in Settings"),IF(G215="Unmapped","Team key not in Teams","OK")))</f>
        <v/>
      </c>
    </row>
    <row r="216">
      <c r="A216" s="12" t="n"/>
      <c r="B216" s="12" t="n"/>
      <c r="C216" s="12" t="n"/>
      <c r="D216" s="12" t="n"/>
      <c r="E216" s="18" t="n"/>
      <c r="F216" s="13" t="n"/>
      <c r="G216" s="19">
        <f>IF(C216="","",IF(IFERROR(INDEX(Teams!$C$5:$C$104,MATCH(B216,Teams!$A$5:$A$104,0))&amp;"","")="","Unmapped",INDEX(Teams!$C$5:$C$104,MATCH(B216,Teams!$A$5:$A$104,0))))</f>
        <v/>
      </c>
      <c r="H216" s="20">
        <f>IF(C216="","",IFERROR(INDEX(Settings!$C$11:$C$25,MATCH(C216&amp;" - "&amp;D216,Settings!$D$11:$D$25,0)),0))</f>
        <v/>
      </c>
      <c r="I216" s="21">
        <f>IF(C216="","",H216*IF(E216="",1,E216/Settings!$B$4))</f>
        <v/>
      </c>
      <c r="J216" s="21">
        <f>IF(OR(C216="",C216="Claude Code"),0,IF(IFERROR(INDEX(Settings!$C$29:$C$31,MATCH(C216,Settings!$A$29:$A$31,0)),"")="",N(F216),IF(SUMIFS($F$5:$F$304,$C$5:$C$304,C216&amp;"")=0,0,N(F216)/SUMIFS($F$5:$F$304,$C$5:$C$304,C216&amp;"")*INDEX(Settings!$C$29:$C$31,MATCH(C216,Settings!$A$29:$A$31,0)))))</f>
        <v/>
      </c>
      <c r="K216" s="21">
        <f>IF(C216="","",I216+J216)</f>
        <v/>
      </c>
      <c r="L216" s="14">
        <f>IF(C216="","",IF(H216=0,IF(ISNUMBER(MATCH(C216&amp;" - "&amp;D216,Settings!$D$11:$D$25,0)),"OK","Tier not in Settings"),IF(G216="Unmapped","Team key not in Teams","OK")))</f>
        <v/>
      </c>
    </row>
    <row r="217">
      <c r="A217" s="12" t="n"/>
      <c r="B217" s="12" t="n"/>
      <c r="C217" s="12" t="n"/>
      <c r="D217" s="12" t="n"/>
      <c r="E217" s="18" t="n"/>
      <c r="F217" s="13" t="n"/>
      <c r="G217" s="19">
        <f>IF(C217="","",IF(IFERROR(INDEX(Teams!$C$5:$C$104,MATCH(B217,Teams!$A$5:$A$104,0))&amp;"","")="","Unmapped",INDEX(Teams!$C$5:$C$104,MATCH(B217,Teams!$A$5:$A$104,0))))</f>
        <v/>
      </c>
      <c r="H217" s="20">
        <f>IF(C217="","",IFERROR(INDEX(Settings!$C$11:$C$25,MATCH(C217&amp;" - "&amp;D217,Settings!$D$11:$D$25,0)),0))</f>
        <v/>
      </c>
      <c r="I217" s="21">
        <f>IF(C217="","",H217*IF(E217="",1,E217/Settings!$B$4))</f>
        <v/>
      </c>
      <c r="J217" s="21">
        <f>IF(OR(C217="",C217="Claude Code"),0,IF(IFERROR(INDEX(Settings!$C$29:$C$31,MATCH(C217,Settings!$A$29:$A$31,0)),"")="",N(F217),IF(SUMIFS($F$5:$F$304,$C$5:$C$304,C217&amp;"")=0,0,N(F217)/SUMIFS($F$5:$F$304,$C$5:$C$304,C217&amp;"")*INDEX(Settings!$C$29:$C$31,MATCH(C217,Settings!$A$29:$A$31,0)))))</f>
        <v/>
      </c>
      <c r="K217" s="21">
        <f>IF(C217="","",I217+J217)</f>
        <v/>
      </c>
      <c r="L217" s="14">
        <f>IF(C217="","",IF(H217=0,IF(ISNUMBER(MATCH(C217&amp;" - "&amp;D217,Settings!$D$11:$D$25,0)),"OK","Tier not in Settings"),IF(G217="Unmapped","Team key not in Teams","OK")))</f>
        <v/>
      </c>
    </row>
    <row r="218">
      <c r="A218" s="12" t="n"/>
      <c r="B218" s="12" t="n"/>
      <c r="C218" s="12" t="n"/>
      <c r="D218" s="12" t="n"/>
      <c r="E218" s="18" t="n"/>
      <c r="F218" s="13" t="n"/>
      <c r="G218" s="19">
        <f>IF(C218="","",IF(IFERROR(INDEX(Teams!$C$5:$C$104,MATCH(B218,Teams!$A$5:$A$104,0))&amp;"","")="","Unmapped",INDEX(Teams!$C$5:$C$104,MATCH(B218,Teams!$A$5:$A$104,0))))</f>
        <v/>
      </c>
      <c r="H218" s="20">
        <f>IF(C218="","",IFERROR(INDEX(Settings!$C$11:$C$25,MATCH(C218&amp;" - "&amp;D218,Settings!$D$11:$D$25,0)),0))</f>
        <v/>
      </c>
      <c r="I218" s="21">
        <f>IF(C218="","",H218*IF(E218="",1,E218/Settings!$B$4))</f>
        <v/>
      </c>
      <c r="J218" s="21">
        <f>IF(OR(C218="",C218="Claude Code"),0,IF(IFERROR(INDEX(Settings!$C$29:$C$31,MATCH(C218,Settings!$A$29:$A$31,0)),"")="",N(F218),IF(SUMIFS($F$5:$F$304,$C$5:$C$304,C218&amp;"")=0,0,N(F218)/SUMIFS($F$5:$F$304,$C$5:$C$304,C218&amp;"")*INDEX(Settings!$C$29:$C$31,MATCH(C218,Settings!$A$29:$A$31,0)))))</f>
        <v/>
      </c>
      <c r="K218" s="21">
        <f>IF(C218="","",I218+J218)</f>
        <v/>
      </c>
      <c r="L218" s="14">
        <f>IF(C218="","",IF(H218=0,IF(ISNUMBER(MATCH(C218&amp;" - "&amp;D218,Settings!$D$11:$D$25,0)),"OK","Tier not in Settings"),IF(G218="Unmapped","Team key not in Teams","OK")))</f>
        <v/>
      </c>
    </row>
    <row r="219">
      <c r="A219" s="12" t="n"/>
      <c r="B219" s="12" t="n"/>
      <c r="C219" s="12" t="n"/>
      <c r="D219" s="12" t="n"/>
      <c r="E219" s="18" t="n"/>
      <c r="F219" s="13" t="n"/>
      <c r="G219" s="19">
        <f>IF(C219="","",IF(IFERROR(INDEX(Teams!$C$5:$C$104,MATCH(B219,Teams!$A$5:$A$104,0))&amp;"","")="","Unmapped",INDEX(Teams!$C$5:$C$104,MATCH(B219,Teams!$A$5:$A$104,0))))</f>
        <v/>
      </c>
      <c r="H219" s="20">
        <f>IF(C219="","",IFERROR(INDEX(Settings!$C$11:$C$25,MATCH(C219&amp;" - "&amp;D219,Settings!$D$11:$D$25,0)),0))</f>
        <v/>
      </c>
      <c r="I219" s="21">
        <f>IF(C219="","",H219*IF(E219="",1,E219/Settings!$B$4))</f>
        <v/>
      </c>
      <c r="J219" s="21">
        <f>IF(OR(C219="",C219="Claude Code"),0,IF(IFERROR(INDEX(Settings!$C$29:$C$31,MATCH(C219,Settings!$A$29:$A$31,0)),"")="",N(F219),IF(SUMIFS($F$5:$F$304,$C$5:$C$304,C219&amp;"")=0,0,N(F219)/SUMIFS($F$5:$F$304,$C$5:$C$304,C219&amp;"")*INDEX(Settings!$C$29:$C$31,MATCH(C219,Settings!$A$29:$A$31,0)))))</f>
        <v/>
      </c>
      <c r="K219" s="21">
        <f>IF(C219="","",I219+J219)</f>
        <v/>
      </c>
      <c r="L219" s="14">
        <f>IF(C219="","",IF(H219=0,IF(ISNUMBER(MATCH(C219&amp;" - "&amp;D219,Settings!$D$11:$D$25,0)),"OK","Tier not in Settings"),IF(G219="Unmapped","Team key not in Teams","OK")))</f>
        <v/>
      </c>
    </row>
    <row r="220">
      <c r="A220" s="12" t="n"/>
      <c r="B220" s="12" t="n"/>
      <c r="C220" s="12" t="n"/>
      <c r="D220" s="12" t="n"/>
      <c r="E220" s="18" t="n"/>
      <c r="F220" s="13" t="n"/>
      <c r="G220" s="19">
        <f>IF(C220="","",IF(IFERROR(INDEX(Teams!$C$5:$C$104,MATCH(B220,Teams!$A$5:$A$104,0))&amp;"","")="","Unmapped",INDEX(Teams!$C$5:$C$104,MATCH(B220,Teams!$A$5:$A$104,0))))</f>
        <v/>
      </c>
      <c r="H220" s="20">
        <f>IF(C220="","",IFERROR(INDEX(Settings!$C$11:$C$25,MATCH(C220&amp;" - "&amp;D220,Settings!$D$11:$D$25,0)),0))</f>
        <v/>
      </c>
      <c r="I220" s="21">
        <f>IF(C220="","",H220*IF(E220="",1,E220/Settings!$B$4))</f>
        <v/>
      </c>
      <c r="J220" s="21">
        <f>IF(OR(C220="",C220="Claude Code"),0,IF(IFERROR(INDEX(Settings!$C$29:$C$31,MATCH(C220,Settings!$A$29:$A$31,0)),"")="",N(F220),IF(SUMIFS($F$5:$F$304,$C$5:$C$304,C220&amp;"")=0,0,N(F220)/SUMIFS($F$5:$F$304,$C$5:$C$304,C220&amp;"")*INDEX(Settings!$C$29:$C$31,MATCH(C220,Settings!$A$29:$A$31,0)))))</f>
        <v/>
      </c>
      <c r="K220" s="21">
        <f>IF(C220="","",I220+J220)</f>
        <v/>
      </c>
      <c r="L220" s="14">
        <f>IF(C220="","",IF(H220=0,IF(ISNUMBER(MATCH(C220&amp;" - "&amp;D220,Settings!$D$11:$D$25,0)),"OK","Tier not in Settings"),IF(G220="Unmapped","Team key not in Teams","OK")))</f>
        <v/>
      </c>
    </row>
    <row r="221">
      <c r="A221" s="12" t="n"/>
      <c r="B221" s="12" t="n"/>
      <c r="C221" s="12" t="n"/>
      <c r="D221" s="12" t="n"/>
      <c r="E221" s="18" t="n"/>
      <c r="F221" s="13" t="n"/>
      <c r="G221" s="19">
        <f>IF(C221="","",IF(IFERROR(INDEX(Teams!$C$5:$C$104,MATCH(B221,Teams!$A$5:$A$104,0))&amp;"","")="","Unmapped",INDEX(Teams!$C$5:$C$104,MATCH(B221,Teams!$A$5:$A$104,0))))</f>
        <v/>
      </c>
      <c r="H221" s="20">
        <f>IF(C221="","",IFERROR(INDEX(Settings!$C$11:$C$25,MATCH(C221&amp;" - "&amp;D221,Settings!$D$11:$D$25,0)),0))</f>
        <v/>
      </c>
      <c r="I221" s="21">
        <f>IF(C221="","",H221*IF(E221="",1,E221/Settings!$B$4))</f>
        <v/>
      </c>
      <c r="J221" s="21">
        <f>IF(OR(C221="",C221="Claude Code"),0,IF(IFERROR(INDEX(Settings!$C$29:$C$31,MATCH(C221,Settings!$A$29:$A$31,0)),"")="",N(F221),IF(SUMIFS($F$5:$F$304,$C$5:$C$304,C221&amp;"")=0,0,N(F221)/SUMIFS($F$5:$F$304,$C$5:$C$304,C221&amp;"")*INDEX(Settings!$C$29:$C$31,MATCH(C221,Settings!$A$29:$A$31,0)))))</f>
        <v/>
      </c>
      <c r="K221" s="21">
        <f>IF(C221="","",I221+J221)</f>
        <v/>
      </c>
      <c r="L221" s="14">
        <f>IF(C221="","",IF(H221=0,IF(ISNUMBER(MATCH(C221&amp;" - "&amp;D221,Settings!$D$11:$D$25,0)),"OK","Tier not in Settings"),IF(G221="Unmapped","Team key not in Teams","OK")))</f>
        <v/>
      </c>
    </row>
    <row r="222">
      <c r="A222" s="12" t="n"/>
      <c r="B222" s="12" t="n"/>
      <c r="C222" s="12" t="n"/>
      <c r="D222" s="12" t="n"/>
      <c r="E222" s="18" t="n"/>
      <c r="F222" s="13" t="n"/>
      <c r="G222" s="19">
        <f>IF(C222="","",IF(IFERROR(INDEX(Teams!$C$5:$C$104,MATCH(B222,Teams!$A$5:$A$104,0))&amp;"","")="","Unmapped",INDEX(Teams!$C$5:$C$104,MATCH(B222,Teams!$A$5:$A$104,0))))</f>
        <v/>
      </c>
      <c r="H222" s="20">
        <f>IF(C222="","",IFERROR(INDEX(Settings!$C$11:$C$25,MATCH(C222&amp;" - "&amp;D222,Settings!$D$11:$D$25,0)),0))</f>
        <v/>
      </c>
      <c r="I222" s="21">
        <f>IF(C222="","",H222*IF(E222="",1,E222/Settings!$B$4))</f>
        <v/>
      </c>
      <c r="J222" s="21">
        <f>IF(OR(C222="",C222="Claude Code"),0,IF(IFERROR(INDEX(Settings!$C$29:$C$31,MATCH(C222,Settings!$A$29:$A$31,0)),"")="",N(F222),IF(SUMIFS($F$5:$F$304,$C$5:$C$304,C222&amp;"")=0,0,N(F222)/SUMIFS($F$5:$F$304,$C$5:$C$304,C222&amp;"")*INDEX(Settings!$C$29:$C$31,MATCH(C222,Settings!$A$29:$A$31,0)))))</f>
        <v/>
      </c>
      <c r="K222" s="21">
        <f>IF(C222="","",I222+J222)</f>
        <v/>
      </c>
      <c r="L222" s="14">
        <f>IF(C222="","",IF(H222=0,IF(ISNUMBER(MATCH(C222&amp;" - "&amp;D222,Settings!$D$11:$D$25,0)),"OK","Tier not in Settings"),IF(G222="Unmapped","Team key not in Teams","OK")))</f>
        <v/>
      </c>
    </row>
    <row r="223">
      <c r="A223" s="12" t="n"/>
      <c r="B223" s="12" t="n"/>
      <c r="C223" s="12" t="n"/>
      <c r="D223" s="12" t="n"/>
      <c r="E223" s="18" t="n"/>
      <c r="F223" s="13" t="n"/>
      <c r="G223" s="19">
        <f>IF(C223="","",IF(IFERROR(INDEX(Teams!$C$5:$C$104,MATCH(B223,Teams!$A$5:$A$104,0))&amp;"","")="","Unmapped",INDEX(Teams!$C$5:$C$104,MATCH(B223,Teams!$A$5:$A$104,0))))</f>
        <v/>
      </c>
      <c r="H223" s="20">
        <f>IF(C223="","",IFERROR(INDEX(Settings!$C$11:$C$25,MATCH(C223&amp;" - "&amp;D223,Settings!$D$11:$D$25,0)),0))</f>
        <v/>
      </c>
      <c r="I223" s="21">
        <f>IF(C223="","",H223*IF(E223="",1,E223/Settings!$B$4))</f>
        <v/>
      </c>
      <c r="J223" s="21">
        <f>IF(OR(C223="",C223="Claude Code"),0,IF(IFERROR(INDEX(Settings!$C$29:$C$31,MATCH(C223,Settings!$A$29:$A$31,0)),"")="",N(F223),IF(SUMIFS($F$5:$F$304,$C$5:$C$304,C223&amp;"")=0,0,N(F223)/SUMIFS($F$5:$F$304,$C$5:$C$304,C223&amp;"")*INDEX(Settings!$C$29:$C$31,MATCH(C223,Settings!$A$29:$A$31,0)))))</f>
        <v/>
      </c>
      <c r="K223" s="21">
        <f>IF(C223="","",I223+J223)</f>
        <v/>
      </c>
      <c r="L223" s="14">
        <f>IF(C223="","",IF(H223=0,IF(ISNUMBER(MATCH(C223&amp;" - "&amp;D223,Settings!$D$11:$D$25,0)),"OK","Tier not in Settings"),IF(G223="Unmapped","Team key not in Teams","OK")))</f>
        <v/>
      </c>
    </row>
    <row r="224">
      <c r="A224" s="12" t="n"/>
      <c r="B224" s="12" t="n"/>
      <c r="C224" s="12" t="n"/>
      <c r="D224" s="12" t="n"/>
      <c r="E224" s="18" t="n"/>
      <c r="F224" s="13" t="n"/>
      <c r="G224" s="19">
        <f>IF(C224="","",IF(IFERROR(INDEX(Teams!$C$5:$C$104,MATCH(B224,Teams!$A$5:$A$104,0))&amp;"","")="","Unmapped",INDEX(Teams!$C$5:$C$104,MATCH(B224,Teams!$A$5:$A$104,0))))</f>
        <v/>
      </c>
      <c r="H224" s="20">
        <f>IF(C224="","",IFERROR(INDEX(Settings!$C$11:$C$25,MATCH(C224&amp;" - "&amp;D224,Settings!$D$11:$D$25,0)),0))</f>
        <v/>
      </c>
      <c r="I224" s="21">
        <f>IF(C224="","",H224*IF(E224="",1,E224/Settings!$B$4))</f>
        <v/>
      </c>
      <c r="J224" s="21">
        <f>IF(OR(C224="",C224="Claude Code"),0,IF(IFERROR(INDEX(Settings!$C$29:$C$31,MATCH(C224,Settings!$A$29:$A$31,0)),"")="",N(F224),IF(SUMIFS($F$5:$F$304,$C$5:$C$304,C224&amp;"")=0,0,N(F224)/SUMIFS($F$5:$F$304,$C$5:$C$304,C224&amp;"")*INDEX(Settings!$C$29:$C$31,MATCH(C224,Settings!$A$29:$A$31,0)))))</f>
        <v/>
      </c>
      <c r="K224" s="21">
        <f>IF(C224="","",I224+J224)</f>
        <v/>
      </c>
      <c r="L224" s="14">
        <f>IF(C224="","",IF(H224=0,IF(ISNUMBER(MATCH(C224&amp;" - "&amp;D224,Settings!$D$11:$D$25,0)),"OK","Tier not in Settings"),IF(G224="Unmapped","Team key not in Teams","OK")))</f>
        <v/>
      </c>
    </row>
    <row r="225">
      <c r="A225" s="12" t="n"/>
      <c r="B225" s="12" t="n"/>
      <c r="C225" s="12" t="n"/>
      <c r="D225" s="12" t="n"/>
      <c r="E225" s="18" t="n"/>
      <c r="F225" s="13" t="n"/>
      <c r="G225" s="19">
        <f>IF(C225="","",IF(IFERROR(INDEX(Teams!$C$5:$C$104,MATCH(B225,Teams!$A$5:$A$104,0))&amp;"","")="","Unmapped",INDEX(Teams!$C$5:$C$104,MATCH(B225,Teams!$A$5:$A$104,0))))</f>
        <v/>
      </c>
      <c r="H225" s="20">
        <f>IF(C225="","",IFERROR(INDEX(Settings!$C$11:$C$25,MATCH(C225&amp;" - "&amp;D225,Settings!$D$11:$D$25,0)),0))</f>
        <v/>
      </c>
      <c r="I225" s="21">
        <f>IF(C225="","",H225*IF(E225="",1,E225/Settings!$B$4))</f>
        <v/>
      </c>
      <c r="J225" s="21">
        <f>IF(OR(C225="",C225="Claude Code"),0,IF(IFERROR(INDEX(Settings!$C$29:$C$31,MATCH(C225,Settings!$A$29:$A$31,0)),"")="",N(F225),IF(SUMIFS($F$5:$F$304,$C$5:$C$304,C225&amp;"")=0,0,N(F225)/SUMIFS($F$5:$F$304,$C$5:$C$304,C225&amp;"")*INDEX(Settings!$C$29:$C$31,MATCH(C225,Settings!$A$29:$A$31,0)))))</f>
        <v/>
      </c>
      <c r="K225" s="21">
        <f>IF(C225="","",I225+J225)</f>
        <v/>
      </c>
      <c r="L225" s="14">
        <f>IF(C225="","",IF(H225=0,IF(ISNUMBER(MATCH(C225&amp;" - "&amp;D225,Settings!$D$11:$D$25,0)),"OK","Tier not in Settings"),IF(G225="Unmapped","Team key not in Teams","OK")))</f>
        <v/>
      </c>
    </row>
    <row r="226">
      <c r="A226" s="12" t="n"/>
      <c r="B226" s="12" t="n"/>
      <c r="C226" s="12" t="n"/>
      <c r="D226" s="12" t="n"/>
      <c r="E226" s="18" t="n"/>
      <c r="F226" s="13" t="n"/>
      <c r="G226" s="19">
        <f>IF(C226="","",IF(IFERROR(INDEX(Teams!$C$5:$C$104,MATCH(B226,Teams!$A$5:$A$104,0))&amp;"","")="","Unmapped",INDEX(Teams!$C$5:$C$104,MATCH(B226,Teams!$A$5:$A$104,0))))</f>
        <v/>
      </c>
      <c r="H226" s="20">
        <f>IF(C226="","",IFERROR(INDEX(Settings!$C$11:$C$25,MATCH(C226&amp;" - "&amp;D226,Settings!$D$11:$D$25,0)),0))</f>
        <v/>
      </c>
      <c r="I226" s="21">
        <f>IF(C226="","",H226*IF(E226="",1,E226/Settings!$B$4))</f>
        <v/>
      </c>
      <c r="J226" s="21">
        <f>IF(OR(C226="",C226="Claude Code"),0,IF(IFERROR(INDEX(Settings!$C$29:$C$31,MATCH(C226,Settings!$A$29:$A$31,0)),"")="",N(F226),IF(SUMIFS($F$5:$F$304,$C$5:$C$304,C226&amp;"")=0,0,N(F226)/SUMIFS($F$5:$F$304,$C$5:$C$304,C226&amp;"")*INDEX(Settings!$C$29:$C$31,MATCH(C226,Settings!$A$29:$A$31,0)))))</f>
        <v/>
      </c>
      <c r="K226" s="21">
        <f>IF(C226="","",I226+J226)</f>
        <v/>
      </c>
      <c r="L226" s="14">
        <f>IF(C226="","",IF(H226=0,IF(ISNUMBER(MATCH(C226&amp;" - "&amp;D226,Settings!$D$11:$D$25,0)),"OK","Tier not in Settings"),IF(G226="Unmapped","Team key not in Teams","OK")))</f>
        <v/>
      </c>
    </row>
    <row r="227">
      <c r="A227" s="12" t="n"/>
      <c r="B227" s="12" t="n"/>
      <c r="C227" s="12" t="n"/>
      <c r="D227" s="12" t="n"/>
      <c r="E227" s="18" t="n"/>
      <c r="F227" s="13" t="n"/>
      <c r="G227" s="19">
        <f>IF(C227="","",IF(IFERROR(INDEX(Teams!$C$5:$C$104,MATCH(B227,Teams!$A$5:$A$104,0))&amp;"","")="","Unmapped",INDEX(Teams!$C$5:$C$104,MATCH(B227,Teams!$A$5:$A$104,0))))</f>
        <v/>
      </c>
      <c r="H227" s="20">
        <f>IF(C227="","",IFERROR(INDEX(Settings!$C$11:$C$25,MATCH(C227&amp;" - "&amp;D227,Settings!$D$11:$D$25,0)),0))</f>
        <v/>
      </c>
      <c r="I227" s="21">
        <f>IF(C227="","",H227*IF(E227="",1,E227/Settings!$B$4))</f>
        <v/>
      </c>
      <c r="J227" s="21">
        <f>IF(OR(C227="",C227="Claude Code"),0,IF(IFERROR(INDEX(Settings!$C$29:$C$31,MATCH(C227,Settings!$A$29:$A$31,0)),"")="",N(F227),IF(SUMIFS($F$5:$F$304,$C$5:$C$304,C227&amp;"")=0,0,N(F227)/SUMIFS($F$5:$F$304,$C$5:$C$304,C227&amp;"")*INDEX(Settings!$C$29:$C$31,MATCH(C227,Settings!$A$29:$A$31,0)))))</f>
        <v/>
      </c>
      <c r="K227" s="21">
        <f>IF(C227="","",I227+J227)</f>
        <v/>
      </c>
      <c r="L227" s="14">
        <f>IF(C227="","",IF(H227=0,IF(ISNUMBER(MATCH(C227&amp;" - "&amp;D227,Settings!$D$11:$D$25,0)),"OK","Tier not in Settings"),IF(G227="Unmapped","Team key not in Teams","OK")))</f>
        <v/>
      </c>
    </row>
    <row r="228">
      <c r="A228" s="12" t="n"/>
      <c r="B228" s="12" t="n"/>
      <c r="C228" s="12" t="n"/>
      <c r="D228" s="12" t="n"/>
      <c r="E228" s="18" t="n"/>
      <c r="F228" s="13" t="n"/>
      <c r="G228" s="19">
        <f>IF(C228="","",IF(IFERROR(INDEX(Teams!$C$5:$C$104,MATCH(B228,Teams!$A$5:$A$104,0))&amp;"","")="","Unmapped",INDEX(Teams!$C$5:$C$104,MATCH(B228,Teams!$A$5:$A$104,0))))</f>
        <v/>
      </c>
      <c r="H228" s="20">
        <f>IF(C228="","",IFERROR(INDEX(Settings!$C$11:$C$25,MATCH(C228&amp;" - "&amp;D228,Settings!$D$11:$D$25,0)),0))</f>
        <v/>
      </c>
      <c r="I228" s="21">
        <f>IF(C228="","",H228*IF(E228="",1,E228/Settings!$B$4))</f>
        <v/>
      </c>
      <c r="J228" s="21">
        <f>IF(OR(C228="",C228="Claude Code"),0,IF(IFERROR(INDEX(Settings!$C$29:$C$31,MATCH(C228,Settings!$A$29:$A$31,0)),"")="",N(F228),IF(SUMIFS($F$5:$F$304,$C$5:$C$304,C228&amp;"")=0,0,N(F228)/SUMIFS($F$5:$F$304,$C$5:$C$304,C228&amp;"")*INDEX(Settings!$C$29:$C$31,MATCH(C228,Settings!$A$29:$A$31,0)))))</f>
        <v/>
      </c>
      <c r="K228" s="21">
        <f>IF(C228="","",I228+J228)</f>
        <v/>
      </c>
      <c r="L228" s="14">
        <f>IF(C228="","",IF(H228=0,IF(ISNUMBER(MATCH(C228&amp;" - "&amp;D228,Settings!$D$11:$D$25,0)),"OK","Tier not in Settings"),IF(G228="Unmapped","Team key not in Teams","OK")))</f>
        <v/>
      </c>
    </row>
    <row r="229">
      <c r="A229" s="12" t="n"/>
      <c r="B229" s="12" t="n"/>
      <c r="C229" s="12" t="n"/>
      <c r="D229" s="12" t="n"/>
      <c r="E229" s="18" t="n"/>
      <c r="F229" s="13" t="n"/>
      <c r="G229" s="19">
        <f>IF(C229="","",IF(IFERROR(INDEX(Teams!$C$5:$C$104,MATCH(B229,Teams!$A$5:$A$104,0))&amp;"","")="","Unmapped",INDEX(Teams!$C$5:$C$104,MATCH(B229,Teams!$A$5:$A$104,0))))</f>
        <v/>
      </c>
      <c r="H229" s="20">
        <f>IF(C229="","",IFERROR(INDEX(Settings!$C$11:$C$25,MATCH(C229&amp;" - "&amp;D229,Settings!$D$11:$D$25,0)),0))</f>
        <v/>
      </c>
      <c r="I229" s="21">
        <f>IF(C229="","",H229*IF(E229="",1,E229/Settings!$B$4))</f>
        <v/>
      </c>
      <c r="J229" s="21">
        <f>IF(OR(C229="",C229="Claude Code"),0,IF(IFERROR(INDEX(Settings!$C$29:$C$31,MATCH(C229,Settings!$A$29:$A$31,0)),"")="",N(F229),IF(SUMIFS($F$5:$F$304,$C$5:$C$304,C229&amp;"")=0,0,N(F229)/SUMIFS($F$5:$F$304,$C$5:$C$304,C229&amp;"")*INDEX(Settings!$C$29:$C$31,MATCH(C229,Settings!$A$29:$A$31,0)))))</f>
        <v/>
      </c>
      <c r="K229" s="21">
        <f>IF(C229="","",I229+J229)</f>
        <v/>
      </c>
      <c r="L229" s="14">
        <f>IF(C229="","",IF(H229=0,IF(ISNUMBER(MATCH(C229&amp;" - "&amp;D229,Settings!$D$11:$D$25,0)),"OK","Tier not in Settings"),IF(G229="Unmapped","Team key not in Teams","OK")))</f>
        <v/>
      </c>
    </row>
    <row r="230">
      <c r="A230" s="12" t="n"/>
      <c r="B230" s="12" t="n"/>
      <c r="C230" s="12" t="n"/>
      <c r="D230" s="12" t="n"/>
      <c r="E230" s="18" t="n"/>
      <c r="F230" s="13" t="n"/>
      <c r="G230" s="19">
        <f>IF(C230="","",IF(IFERROR(INDEX(Teams!$C$5:$C$104,MATCH(B230,Teams!$A$5:$A$104,0))&amp;"","")="","Unmapped",INDEX(Teams!$C$5:$C$104,MATCH(B230,Teams!$A$5:$A$104,0))))</f>
        <v/>
      </c>
      <c r="H230" s="20">
        <f>IF(C230="","",IFERROR(INDEX(Settings!$C$11:$C$25,MATCH(C230&amp;" - "&amp;D230,Settings!$D$11:$D$25,0)),0))</f>
        <v/>
      </c>
      <c r="I230" s="21">
        <f>IF(C230="","",H230*IF(E230="",1,E230/Settings!$B$4))</f>
        <v/>
      </c>
      <c r="J230" s="21">
        <f>IF(OR(C230="",C230="Claude Code"),0,IF(IFERROR(INDEX(Settings!$C$29:$C$31,MATCH(C230,Settings!$A$29:$A$31,0)),"")="",N(F230),IF(SUMIFS($F$5:$F$304,$C$5:$C$304,C230&amp;"")=0,0,N(F230)/SUMIFS($F$5:$F$304,$C$5:$C$304,C230&amp;"")*INDEX(Settings!$C$29:$C$31,MATCH(C230,Settings!$A$29:$A$31,0)))))</f>
        <v/>
      </c>
      <c r="K230" s="21">
        <f>IF(C230="","",I230+J230)</f>
        <v/>
      </c>
      <c r="L230" s="14">
        <f>IF(C230="","",IF(H230=0,IF(ISNUMBER(MATCH(C230&amp;" - "&amp;D230,Settings!$D$11:$D$25,0)),"OK","Tier not in Settings"),IF(G230="Unmapped","Team key not in Teams","OK")))</f>
        <v/>
      </c>
    </row>
    <row r="231">
      <c r="A231" s="12" t="n"/>
      <c r="B231" s="12" t="n"/>
      <c r="C231" s="12" t="n"/>
      <c r="D231" s="12" t="n"/>
      <c r="E231" s="18" t="n"/>
      <c r="F231" s="13" t="n"/>
      <c r="G231" s="19">
        <f>IF(C231="","",IF(IFERROR(INDEX(Teams!$C$5:$C$104,MATCH(B231,Teams!$A$5:$A$104,0))&amp;"","")="","Unmapped",INDEX(Teams!$C$5:$C$104,MATCH(B231,Teams!$A$5:$A$104,0))))</f>
        <v/>
      </c>
      <c r="H231" s="20">
        <f>IF(C231="","",IFERROR(INDEX(Settings!$C$11:$C$25,MATCH(C231&amp;" - "&amp;D231,Settings!$D$11:$D$25,0)),0))</f>
        <v/>
      </c>
      <c r="I231" s="21">
        <f>IF(C231="","",H231*IF(E231="",1,E231/Settings!$B$4))</f>
        <v/>
      </c>
      <c r="J231" s="21">
        <f>IF(OR(C231="",C231="Claude Code"),0,IF(IFERROR(INDEX(Settings!$C$29:$C$31,MATCH(C231,Settings!$A$29:$A$31,0)),"")="",N(F231),IF(SUMIFS($F$5:$F$304,$C$5:$C$304,C231&amp;"")=0,0,N(F231)/SUMIFS($F$5:$F$304,$C$5:$C$304,C231&amp;"")*INDEX(Settings!$C$29:$C$31,MATCH(C231,Settings!$A$29:$A$31,0)))))</f>
        <v/>
      </c>
      <c r="K231" s="21">
        <f>IF(C231="","",I231+J231)</f>
        <v/>
      </c>
      <c r="L231" s="14">
        <f>IF(C231="","",IF(H231=0,IF(ISNUMBER(MATCH(C231&amp;" - "&amp;D231,Settings!$D$11:$D$25,0)),"OK","Tier not in Settings"),IF(G231="Unmapped","Team key not in Teams","OK")))</f>
        <v/>
      </c>
    </row>
    <row r="232">
      <c r="A232" s="12" t="n"/>
      <c r="B232" s="12" t="n"/>
      <c r="C232" s="12" t="n"/>
      <c r="D232" s="12" t="n"/>
      <c r="E232" s="18" t="n"/>
      <c r="F232" s="13" t="n"/>
      <c r="G232" s="19">
        <f>IF(C232="","",IF(IFERROR(INDEX(Teams!$C$5:$C$104,MATCH(B232,Teams!$A$5:$A$104,0))&amp;"","")="","Unmapped",INDEX(Teams!$C$5:$C$104,MATCH(B232,Teams!$A$5:$A$104,0))))</f>
        <v/>
      </c>
      <c r="H232" s="20">
        <f>IF(C232="","",IFERROR(INDEX(Settings!$C$11:$C$25,MATCH(C232&amp;" - "&amp;D232,Settings!$D$11:$D$25,0)),0))</f>
        <v/>
      </c>
      <c r="I232" s="21">
        <f>IF(C232="","",H232*IF(E232="",1,E232/Settings!$B$4))</f>
        <v/>
      </c>
      <c r="J232" s="21">
        <f>IF(OR(C232="",C232="Claude Code"),0,IF(IFERROR(INDEX(Settings!$C$29:$C$31,MATCH(C232,Settings!$A$29:$A$31,0)),"")="",N(F232),IF(SUMIFS($F$5:$F$304,$C$5:$C$304,C232&amp;"")=0,0,N(F232)/SUMIFS($F$5:$F$304,$C$5:$C$304,C232&amp;"")*INDEX(Settings!$C$29:$C$31,MATCH(C232,Settings!$A$29:$A$31,0)))))</f>
        <v/>
      </c>
      <c r="K232" s="21">
        <f>IF(C232="","",I232+J232)</f>
        <v/>
      </c>
      <c r="L232" s="14">
        <f>IF(C232="","",IF(H232=0,IF(ISNUMBER(MATCH(C232&amp;" - "&amp;D232,Settings!$D$11:$D$25,0)),"OK","Tier not in Settings"),IF(G232="Unmapped","Team key not in Teams","OK")))</f>
        <v/>
      </c>
    </row>
    <row r="233">
      <c r="A233" s="12" t="n"/>
      <c r="B233" s="12" t="n"/>
      <c r="C233" s="12" t="n"/>
      <c r="D233" s="12" t="n"/>
      <c r="E233" s="18" t="n"/>
      <c r="F233" s="13" t="n"/>
      <c r="G233" s="19">
        <f>IF(C233="","",IF(IFERROR(INDEX(Teams!$C$5:$C$104,MATCH(B233,Teams!$A$5:$A$104,0))&amp;"","")="","Unmapped",INDEX(Teams!$C$5:$C$104,MATCH(B233,Teams!$A$5:$A$104,0))))</f>
        <v/>
      </c>
      <c r="H233" s="20">
        <f>IF(C233="","",IFERROR(INDEX(Settings!$C$11:$C$25,MATCH(C233&amp;" - "&amp;D233,Settings!$D$11:$D$25,0)),0))</f>
        <v/>
      </c>
      <c r="I233" s="21">
        <f>IF(C233="","",H233*IF(E233="",1,E233/Settings!$B$4))</f>
        <v/>
      </c>
      <c r="J233" s="21">
        <f>IF(OR(C233="",C233="Claude Code"),0,IF(IFERROR(INDEX(Settings!$C$29:$C$31,MATCH(C233,Settings!$A$29:$A$31,0)),"")="",N(F233),IF(SUMIFS($F$5:$F$304,$C$5:$C$304,C233&amp;"")=0,0,N(F233)/SUMIFS($F$5:$F$304,$C$5:$C$304,C233&amp;"")*INDEX(Settings!$C$29:$C$31,MATCH(C233,Settings!$A$29:$A$31,0)))))</f>
        <v/>
      </c>
      <c r="K233" s="21">
        <f>IF(C233="","",I233+J233)</f>
        <v/>
      </c>
      <c r="L233" s="14">
        <f>IF(C233="","",IF(H233=0,IF(ISNUMBER(MATCH(C233&amp;" - "&amp;D233,Settings!$D$11:$D$25,0)),"OK","Tier not in Settings"),IF(G233="Unmapped","Team key not in Teams","OK")))</f>
        <v/>
      </c>
    </row>
    <row r="234">
      <c r="A234" s="12" t="n"/>
      <c r="B234" s="12" t="n"/>
      <c r="C234" s="12" t="n"/>
      <c r="D234" s="12" t="n"/>
      <c r="E234" s="18" t="n"/>
      <c r="F234" s="13" t="n"/>
      <c r="G234" s="19">
        <f>IF(C234="","",IF(IFERROR(INDEX(Teams!$C$5:$C$104,MATCH(B234,Teams!$A$5:$A$104,0))&amp;"","")="","Unmapped",INDEX(Teams!$C$5:$C$104,MATCH(B234,Teams!$A$5:$A$104,0))))</f>
        <v/>
      </c>
      <c r="H234" s="20">
        <f>IF(C234="","",IFERROR(INDEX(Settings!$C$11:$C$25,MATCH(C234&amp;" - "&amp;D234,Settings!$D$11:$D$25,0)),0))</f>
        <v/>
      </c>
      <c r="I234" s="21">
        <f>IF(C234="","",H234*IF(E234="",1,E234/Settings!$B$4))</f>
        <v/>
      </c>
      <c r="J234" s="21">
        <f>IF(OR(C234="",C234="Claude Code"),0,IF(IFERROR(INDEX(Settings!$C$29:$C$31,MATCH(C234,Settings!$A$29:$A$31,0)),"")="",N(F234),IF(SUMIFS($F$5:$F$304,$C$5:$C$304,C234&amp;"")=0,0,N(F234)/SUMIFS($F$5:$F$304,$C$5:$C$304,C234&amp;"")*INDEX(Settings!$C$29:$C$31,MATCH(C234,Settings!$A$29:$A$31,0)))))</f>
        <v/>
      </c>
      <c r="K234" s="21">
        <f>IF(C234="","",I234+J234)</f>
        <v/>
      </c>
      <c r="L234" s="14">
        <f>IF(C234="","",IF(H234=0,IF(ISNUMBER(MATCH(C234&amp;" - "&amp;D234,Settings!$D$11:$D$25,0)),"OK","Tier not in Settings"),IF(G234="Unmapped","Team key not in Teams","OK")))</f>
        <v/>
      </c>
    </row>
    <row r="235">
      <c r="A235" s="12" t="n"/>
      <c r="B235" s="12" t="n"/>
      <c r="C235" s="12" t="n"/>
      <c r="D235" s="12" t="n"/>
      <c r="E235" s="18" t="n"/>
      <c r="F235" s="13" t="n"/>
      <c r="G235" s="19">
        <f>IF(C235="","",IF(IFERROR(INDEX(Teams!$C$5:$C$104,MATCH(B235,Teams!$A$5:$A$104,0))&amp;"","")="","Unmapped",INDEX(Teams!$C$5:$C$104,MATCH(B235,Teams!$A$5:$A$104,0))))</f>
        <v/>
      </c>
      <c r="H235" s="20">
        <f>IF(C235="","",IFERROR(INDEX(Settings!$C$11:$C$25,MATCH(C235&amp;" - "&amp;D235,Settings!$D$11:$D$25,0)),0))</f>
        <v/>
      </c>
      <c r="I235" s="21">
        <f>IF(C235="","",H235*IF(E235="",1,E235/Settings!$B$4))</f>
        <v/>
      </c>
      <c r="J235" s="21">
        <f>IF(OR(C235="",C235="Claude Code"),0,IF(IFERROR(INDEX(Settings!$C$29:$C$31,MATCH(C235,Settings!$A$29:$A$31,0)),"")="",N(F235),IF(SUMIFS($F$5:$F$304,$C$5:$C$304,C235&amp;"")=0,0,N(F235)/SUMIFS($F$5:$F$304,$C$5:$C$304,C235&amp;"")*INDEX(Settings!$C$29:$C$31,MATCH(C235,Settings!$A$29:$A$31,0)))))</f>
        <v/>
      </c>
      <c r="K235" s="21">
        <f>IF(C235="","",I235+J235)</f>
        <v/>
      </c>
      <c r="L235" s="14">
        <f>IF(C235="","",IF(H235=0,IF(ISNUMBER(MATCH(C235&amp;" - "&amp;D235,Settings!$D$11:$D$25,0)),"OK","Tier not in Settings"),IF(G235="Unmapped","Team key not in Teams","OK")))</f>
        <v/>
      </c>
    </row>
    <row r="236">
      <c r="A236" s="12" t="n"/>
      <c r="B236" s="12" t="n"/>
      <c r="C236" s="12" t="n"/>
      <c r="D236" s="12" t="n"/>
      <c r="E236" s="18" t="n"/>
      <c r="F236" s="13" t="n"/>
      <c r="G236" s="19">
        <f>IF(C236="","",IF(IFERROR(INDEX(Teams!$C$5:$C$104,MATCH(B236,Teams!$A$5:$A$104,0))&amp;"","")="","Unmapped",INDEX(Teams!$C$5:$C$104,MATCH(B236,Teams!$A$5:$A$104,0))))</f>
        <v/>
      </c>
      <c r="H236" s="20">
        <f>IF(C236="","",IFERROR(INDEX(Settings!$C$11:$C$25,MATCH(C236&amp;" - "&amp;D236,Settings!$D$11:$D$25,0)),0))</f>
        <v/>
      </c>
      <c r="I236" s="21">
        <f>IF(C236="","",H236*IF(E236="",1,E236/Settings!$B$4))</f>
        <v/>
      </c>
      <c r="J236" s="21">
        <f>IF(OR(C236="",C236="Claude Code"),0,IF(IFERROR(INDEX(Settings!$C$29:$C$31,MATCH(C236,Settings!$A$29:$A$31,0)),"")="",N(F236),IF(SUMIFS($F$5:$F$304,$C$5:$C$304,C236&amp;"")=0,0,N(F236)/SUMIFS($F$5:$F$304,$C$5:$C$304,C236&amp;"")*INDEX(Settings!$C$29:$C$31,MATCH(C236,Settings!$A$29:$A$31,0)))))</f>
        <v/>
      </c>
      <c r="K236" s="21">
        <f>IF(C236="","",I236+J236)</f>
        <v/>
      </c>
      <c r="L236" s="14">
        <f>IF(C236="","",IF(H236=0,IF(ISNUMBER(MATCH(C236&amp;" - "&amp;D236,Settings!$D$11:$D$25,0)),"OK","Tier not in Settings"),IF(G236="Unmapped","Team key not in Teams","OK")))</f>
        <v/>
      </c>
    </row>
    <row r="237">
      <c r="A237" s="12" t="n"/>
      <c r="B237" s="12" t="n"/>
      <c r="C237" s="12" t="n"/>
      <c r="D237" s="12" t="n"/>
      <c r="E237" s="18" t="n"/>
      <c r="F237" s="13" t="n"/>
      <c r="G237" s="19">
        <f>IF(C237="","",IF(IFERROR(INDEX(Teams!$C$5:$C$104,MATCH(B237,Teams!$A$5:$A$104,0))&amp;"","")="","Unmapped",INDEX(Teams!$C$5:$C$104,MATCH(B237,Teams!$A$5:$A$104,0))))</f>
        <v/>
      </c>
      <c r="H237" s="20">
        <f>IF(C237="","",IFERROR(INDEX(Settings!$C$11:$C$25,MATCH(C237&amp;" - "&amp;D237,Settings!$D$11:$D$25,0)),0))</f>
        <v/>
      </c>
      <c r="I237" s="21">
        <f>IF(C237="","",H237*IF(E237="",1,E237/Settings!$B$4))</f>
        <v/>
      </c>
      <c r="J237" s="21">
        <f>IF(OR(C237="",C237="Claude Code"),0,IF(IFERROR(INDEX(Settings!$C$29:$C$31,MATCH(C237,Settings!$A$29:$A$31,0)),"")="",N(F237),IF(SUMIFS($F$5:$F$304,$C$5:$C$304,C237&amp;"")=0,0,N(F237)/SUMIFS($F$5:$F$304,$C$5:$C$304,C237&amp;"")*INDEX(Settings!$C$29:$C$31,MATCH(C237,Settings!$A$29:$A$31,0)))))</f>
        <v/>
      </c>
      <c r="K237" s="21">
        <f>IF(C237="","",I237+J237)</f>
        <v/>
      </c>
      <c r="L237" s="14">
        <f>IF(C237="","",IF(H237=0,IF(ISNUMBER(MATCH(C237&amp;" - "&amp;D237,Settings!$D$11:$D$25,0)),"OK","Tier not in Settings"),IF(G237="Unmapped","Team key not in Teams","OK")))</f>
        <v/>
      </c>
    </row>
    <row r="238">
      <c r="A238" s="12" t="n"/>
      <c r="B238" s="12" t="n"/>
      <c r="C238" s="12" t="n"/>
      <c r="D238" s="12" t="n"/>
      <c r="E238" s="18" t="n"/>
      <c r="F238" s="13" t="n"/>
      <c r="G238" s="19">
        <f>IF(C238="","",IF(IFERROR(INDEX(Teams!$C$5:$C$104,MATCH(B238,Teams!$A$5:$A$104,0))&amp;"","")="","Unmapped",INDEX(Teams!$C$5:$C$104,MATCH(B238,Teams!$A$5:$A$104,0))))</f>
        <v/>
      </c>
      <c r="H238" s="20">
        <f>IF(C238="","",IFERROR(INDEX(Settings!$C$11:$C$25,MATCH(C238&amp;" - "&amp;D238,Settings!$D$11:$D$25,0)),0))</f>
        <v/>
      </c>
      <c r="I238" s="21">
        <f>IF(C238="","",H238*IF(E238="",1,E238/Settings!$B$4))</f>
        <v/>
      </c>
      <c r="J238" s="21">
        <f>IF(OR(C238="",C238="Claude Code"),0,IF(IFERROR(INDEX(Settings!$C$29:$C$31,MATCH(C238,Settings!$A$29:$A$31,0)),"")="",N(F238),IF(SUMIFS($F$5:$F$304,$C$5:$C$304,C238&amp;"")=0,0,N(F238)/SUMIFS($F$5:$F$304,$C$5:$C$304,C238&amp;"")*INDEX(Settings!$C$29:$C$31,MATCH(C238,Settings!$A$29:$A$31,0)))))</f>
        <v/>
      </c>
      <c r="K238" s="21">
        <f>IF(C238="","",I238+J238)</f>
        <v/>
      </c>
      <c r="L238" s="14">
        <f>IF(C238="","",IF(H238=0,IF(ISNUMBER(MATCH(C238&amp;" - "&amp;D238,Settings!$D$11:$D$25,0)),"OK","Tier not in Settings"),IF(G238="Unmapped","Team key not in Teams","OK")))</f>
        <v/>
      </c>
    </row>
    <row r="239">
      <c r="A239" s="12" t="n"/>
      <c r="B239" s="12" t="n"/>
      <c r="C239" s="12" t="n"/>
      <c r="D239" s="12" t="n"/>
      <c r="E239" s="18" t="n"/>
      <c r="F239" s="13" t="n"/>
      <c r="G239" s="19">
        <f>IF(C239="","",IF(IFERROR(INDEX(Teams!$C$5:$C$104,MATCH(B239,Teams!$A$5:$A$104,0))&amp;"","")="","Unmapped",INDEX(Teams!$C$5:$C$104,MATCH(B239,Teams!$A$5:$A$104,0))))</f>
        <v/>
      </c>
      <c r="H239" s="20">
        <f>IF(C239="","",IFERROR(INDEX(Settings!$C$11:$C$25,MATCH(C239&amp;" - "&amp;D239,Settings!$D$11:$D$25,0)),0))</f>
        <v/>
      </c>
      <c r="I239" s="21">
        <f>IF(C239="","",H239*IF(E239="",1,E239/Settings!$B$4))</f>
        <v/>
      </c>
      <c r="J239" s="21">
        <f>IF(OR(C239="",C239="Claude Code"),0,IF(IFERROR(INDEX(Settings!$C$29:$C$31,MATCH(C239,Settings!$A$29:$A$31,0)),"")="",N(F239),IF(SUMIFS($F$5:$F$304,$C$5:$C$304,C239&amp;"")=0,0,N(F239)/SUMIFS($F$5:$F$304,$C$5:$C$304,C239&amp;"")*INDEX(Settings!$C$29:$C$31,MATCH(C239,Settings!$A$29:$A$31,0)))))</f>
        <v/>
      </c>
      <c r="K239" s="21">
        <f>IF(C239="","",I239+J239)</f>
        <v/>
      </c>
      <c r="L239" s="14">
        <f>IF(C239="","",IF(H239=0,IF(ISNUMBER(MATCH(C239&amp;" - "&amp;D239,Settings!$D$11:$D$25,0)),"OK","Tier not in Settings"),IF(G239="Unmapped","Team key not in Teams","OK")))</f>
        <v/>
      </c>
    </row>
    <row r="240">
      <c r="A240" s="12" t="n"/>
      <c r="B240" s="12" t="n"/>
      <c r="C240" s="12" t="n"/>
      <c r="D240" s="12" t="n"/>
      <c r="E240" s="18" t="n"/>
      <c r="F240" s="13" t="n"/>
      <c r="G240" s="19">
        <f>IF(C240="","",IF(IFERROR(INDEX(Teams!$C$5:$C$104,MATCH(B240,Teams!$A$5:$A$104,0))&amp;"","")="","Unmapped",INDEX(Teams!$C$5:$C$104,MATCH(B240,Teams!$A$5:$A$104,0))))</f>
        <v/>
      </c>
      <c r="H240" s="20">
        <f>IF(C240="","",IFERROR(INDEX(Settings!$C$11:$C$25,MATCH(C240&amp;" - "&amp;D240,Settings!$D$11:$D$25,0)),0))</f>
        <v/>
      </c>
      <c r="I240" s="21">
        <f>IF(C240="","",H240*IF(E240="",1,E240/Settings!$B$4))</f>
        <v/>
      </c>
      <c r="J240" s="21">
        <f>IF(OR(C240="",C240="Claude Code"),0,IF(IFERROR(INDEX(Settings!$C$29:$C$31,MATCH(C240,Settings!$A$29:$A$31,0)),"")="",N(F240),IF(SUMIFS($F$5:$F$304,$C$5:$C$304,C240&amp;"")=0,0,N(F240)/SUMIFS($F$5:$F$304,$C$5:$C$304,C240&amp;"")*INDEX(Settings!$C$29:$C$31,MATCH(C240,Settings!$A$29:$A$31,0)))))</f>
        <v/>
      </c>
      <c r="K240" s="21">
        <f>IF(C240="","",I240+J240)</f>
        <v/>
      </c>
      <c r="L240" s="14">
        <f>IF(C240="","",IF(H240=0,IF(ISNUMBER(MATCH(C240&amp;" - "&amp;D240,Settings!$D$11:$D$25,0)),"OK","Tier not in Settings"),IF(G240="Unmapped","Team key not in Teams","OK")))</f>
        <v/>
      </c>
    </row>
    <row r="241">
      <c r="A241" s="12" t="n"/>
      <c r="B241" s="12" t="n"/>
      <c r="C241" s="12" t="n"/>
      <c r="D241" s="12" t="n"/>
      <c r="E241" s="18" t="n"/>
      <c r="F241" s="13" t="n"/>
      <c r="G241" s="19">
        <f>IF(C241="","",IF(IFERROR(INDEX(Teams!$C$5:$C$104,MATCH(B241,Teams!$A$5:$A$104,0))&amp;"","")="","Unmapped",INDEX(Teams!$C$5:$C$104,MATCH(B241,Teams!$A$5:$A$104,0))))</f>
        <v/>
      </c>
      <c r="H241" s="20">
        <f>IF(C241="","",IFERROR(INDEX(Settings!$C$11:$C$25,MATCH(C241&amp;" - "&amp;D241,Settings!$D$11:$D$25,0)),0))</f>
        <v/>
      </c>
      <c r="I241" s="21">
        <f>IF(C241="","",H241*IF(E241="",1,E241/Settings!$B$4))</f>
        <v/>
      </c>
      <c r="J241" s="21">
        <f>IF(OR(C241="",C241="Claude Code"),0,IF(IFERROR(INDEX(Settings!$C$29:$C$31,MATCH(C241,Settings!$A$29:$A$31,0)),"")="",N(F241),IF(SUMIFS($F$5:$F$304,$C$5:$C$304,C241&amp;"")=0,0,N(F241)/SUMIFS($F$5:$F$304,$C$5:$C$304,C241&amp;"")*INDEX(Settings!$C$29:$C$31,MATCH(C241,Settings!$A$29:$A$31,0)))))</f>
        <v/>
      </c>
      <c r="K241" s="21">
        <f>IF(C241="","",I241+J241)</f>
        <v/>
      </c>
      <c r="L241" s="14">
        <f>IF(C241="","",IF(H241=0,IF(ISNUMBER(MATCH(C241&amp;" - "&amp;D241,Settings!$D$11:$D$25,0)),"OK","Tier not in Settings"),IF(G241="Unmapped","Team key not in Teams","OK")))</f>
        <v/>
      </c>
    </row>
    <row r="242">
      <c r="A242" s="12" t="n"/>
      <c r="B242" s="12" t="n"/>
      <c r="C242" s="12" t="n"/>
      <c r="D242" s="12" t="n"/>
      <c r="E242" s="18" t="n"/>
      <c r="F242" s="13" t="n"/>
      <c r="G242" s="19">
        <f>IF(C242="","",IF(IFERROR(INDEX(Teams!$C$5:$C$104,MATCH(B242,Teams!$A$5:$A$104,0))&amp;"","")="","Unmapped",INDEX(Teams!$C$5:$C$104,MATCH(B242,Teams!$A$5:$A$104,0))))</f>
        <v/>
      </c>
      <c r="H242" s="20">
        <f>IF(C242="","",IFERROR(INDEX(Settings!$C$11:$C$25,MATCH(C242&amp;" - "&amp;D242,Settings!$D$11:$D$25,0)),0))</f>
        <v/>
      </c>
      <c r="I242" s="21">
        <f>IF(C242="","",H242*IF(E242="",1,E242/Settings!$B$4))</f>
        <v/>
      </c>
      <c r="J242" s="21">
        <f>IF(OR(C242="",C242="Claude Code"),0,IF(IFERROR(INDEX(Settings!$C$29:$C$31,MATCH(C242,Settings!$A$29:$A$31,0)),"")="",N(F242),IF(SUMIFS($F$5:$F$304,$C$5:$C$304,C242&amp;"")=0,0,N(F242)/SUMIFS($F$5:$F$304,$C$5:$C$304,C242&amp;"")*INDEX(Settings!$C$29:$C$31,MATCH(C242,Settings!$A$29:$A$31,0)))))</f>
        <v/>
      </c>
      <c r="K242" s="21">
        <f>IF(C242="","",I242+J242)</f>
        <v/>
      </c>
      <c r="L242" s="14">
        <f>IF(C242="","",IF(H242=0,IF(ISNUMBER(MATCH(C242&amp;" - "&amp;D242,Settings!$D$11:$D$25,0)),"OK","Tier not in Settings"),IF(G242="Unmapped","Team key not in Teams","OK")))</f>
        <v/>
      </c>
    </row>
    <row r="243">
      <c r="A243" s="12" t="n"/>
      <c r="B243" s="12" t="n"/>
      <c r="C243" s="12" t="n"/>
      <c r="D243" s="12" t="n"/>
      <c r="E243" s="18" t="n"/>
      <c r="F243" s="13" t="n"/>
      <c r="G243" s="19">
        <f>IF(C243="","",IF(IFERROR(INDEX(Teams!$C$5:$C$104,MATCH(B243,Teams!$A$5:$A$104,0))&amp;"","")="","Unmapped",INDEX(Teams!$C$5:$C$104,MATCH(B243,Teams!$A$5:$A$104,0))))</f>
        <v/>
      </c>
      <c r="H243" s="20">
        <f>IF(C243="","",IFERROR(INDEX(Settings!$C$11:$C$25,MATCH(C243&amp;" - "&amp;D243,Settings!$D$11:$D$25,0)),0))</f>
        <v/>
      </c>
      <c r="I243" s="21">
        <f>IF(C243="","",H243*IF(E243="",1,E243/Settings!$B$4))</f>
        <v/>
      </c>
      <c r="J243" s="21">
        <f>IF(OR(C243="",C243="Claude Code"),0,IF(IFERROR(INDEX(Settings!$C$29:$C$31,MATCH(C243,Settings!$A$29:$A$31,0)),"")="",N(F243),IF(SUMIFS($F$5:$F$304,$C$5:$C$304,C243&amp;"")=0,0,N(F243)/SUMIFS($F$5:$F$304,$C$5:$C$304,C243&amp;"")*INDEX(Settings!$C$29:$C$31,MATCH(C243,Settings!$A$29:$A$31,0)))))</f>
        <v/>
      </c>
      <c r="K243" s="21">
        <f>IF(C243="","",I243+J243)</f>
        <v/>
      </c>
      <c r="L243" s="14">
        <f>IF(C243="","",IF(H243=0,IF(ISNUMBER(MATCH(C243&amp;" - "&amp;D243,Settings!$D$11:$D$25,0)),"OK","Tier not in Settings"),IF(G243="Unmapped","Team key not in Teams","OK")))</f>
        <v/>
      </c>
    </row>
    <row r="244">
      <c r="A244" s="12" t="n"/>
      <c r="B244" s="12" t="n"/>
      <c r="C244" s="12" t="n"/>
      <c r="D244" s="12" t="n"/>
      <c r="E244" s="18" t="n"/>
      <c r="F244" s="13" t="n"/>
      <c r="G244" s="19">
        <f>IF(C244="","",IF(IFERROR(INDEX(Teams!$C$5:$C$104,MATCH(B244,Teams!$A$5:$A$104,0))&amp;"","")="","Unmapped",INDEX(Teams!$C$5:$C$104,MATCH(B244,Teams!$A$5:$A$104,0))))</f>
        <v/>
      </c>
      <c r="H244" s="20">
        <f>IF(C244="","",IFERROR(INDEX(Settings!$C$11:$C$25,MATCH(C244&amp;" - "&amp;D244,Settings!$D$11:$D$25,0)),0))</f>
        <v/>
      </c>
      <c r="I244" s="21">
        <f>IF(C244="","",H244*IF(E244="",1,E244/Settings!$B$4))</f>
        <v/>
      </c>
      <c r="J244" s="21">
        <f>IF(OR(C244="",C244="Claude Code"),0,IF(IFERROR(INDEX(Settings!$C$29:$C$31,MATCH(C244,Settings!$A$29:$A$31,0)),"")="",N(F244),IF(SUMIFS($F$5:$F$304,$C$5:$C$304,C244&amp;"")=0,0,N(F244)/SUMIFS($F$5:$F$304,$C$5:$C$304,C244&amp;"")*INDEX(Settings!$C$29:$C$31,MATCH(C244,Settings!$A$29:$A$31,0)))))</f>
        <v/>
      </c>
      <c r="K244" s="21">
        <f>IF(C244="","",I244+J244)</f>
        <v/>
      </c>
      <c r="L244" s="14">
        <f>IF(C244="","",IF(H244=0,IF(ISNUMBER(MATCH(C244&amp;" - "&amp;D244,Settings!$D$11:$D$25,0)),"OK","Tier not in Settings"),IF(G244="Unmapped","Team key not in Teams","OK")))</f>
        <v/>
      </c>
    </row>
    <row r="245">
      <c r="A245" s="12" t="n"/>
      <c r="B245" s="12" t="n"/>
      <c r="C245" s="12" t="n"/>
      <c r="D245" s="12" t="n"/>
      <c r="E245" s="18" t="n"/>
      <c r="F245" s="13" t="n"/>
      <c r="G245" s="19">
        <f>IF(C245="","",IF(IFERROR(INDEX(Teams!$C$5:$C$104,MATCH(B245,Teams!$A$5:$A$104,0))&amp;"","")="","Unmapped",INDEX(Teams!$C$5:$C$104,MATCH(B245,Teams!$A$5:$A$104,0))))</f>
        <v/>
      </c>
      <c r="H245" s="20">
        <f>IF(C245="","",IFERROR(INDEX(Settings!$C$11:$C$25,MATCH(C245&amp;" - "&amp;D245,Settings!$D$11:$D$25,0)),0))</f>
        <v/>
      </c>
      <c r="I245" s="21">
        <f>IF(C245="","",H245*IF(E245="",1,E245/Settings!$B$4))</f>
        <v/>
      </c>
      <c r="J245" s="21">
        <f>IF(OR(C245="",C245="Claude Code"),0,IF(IFERROR(INDEX(Settings!$C$29:$C$31,MATCH(C245,Settings!$A$29:$A$31,0)),"")="",N(F245),IF(SUMIFS($F$5:$F$304,$C$5:$C$304,C245&amp;"")=0,0,N(F245)/SUMIFS($F$5:$F$304,$C$5:$C$304,C245&amp;"")*INDEX(Settings!$C$29:$C$31,MATCH(C245,Settings!$A$29:$A$31,0)))))</f>
        <v/>
      </c>
      <c r="K245" s="21">
        <f>IF(C245="","",I245+J245)</f>
        <v/>
      </c>
      <c r="L245" s="14">
        <f>IF(C245="","",IF(H245=0,IF(ISNUMBER(MATCH(C245&amp;" - "&amp;D245,Settings!$D$11:$D$25,0)),"OK","Tier not in Settings"),IF(G245="Unmapped","Team key not in Teams","OK")))</f>
        <v/>
      </c>
    </row>
    <row r="246">
      <c r="A246" s="12" t="n"/>
      <c r="B246" s="12" t="n"/>
      <c r="C246" s="12" t="n"/>
      <c r="D246" s="12" t="n"/>
      <c r="E246" s="18" t="n"/>
      <c r="F246" s="13" t="n"/>
      <c r="G246" s="19">
        <f>IF(C246="","",IF(IFERROR(INDEX(Teams!$C$5:$C$104,MATCH(B246,Teams!$A$5:$A$104,0))&amp;"","")="","Unmapped",INDEX(Teams!$C$5:$C$104,MATCH(B246,Teams!$A$5:$A$104,0))))</f>
        <v/>
      </c>
      <c r="H246" s="20">
        <f>IF(C246="","",IFERROR(INDEX(Settings!$C$11:$C$25,MATCH(C246&amp;" - "&amp;D246,Settings!$D$11:$D$25,0)),0))</f>
        <v/>
      </c>
      <c r="I246" s="21">
        <f>IF(C246="","",H246*IF(E246="",1,E246/Settings!$B$4))</f>
        <v/>
      </c>
      <c r="J246" s="21">
        <f>IF(OR(C246="",C246="Claude Code"),0,IF(IFERROR(INDEX(Settings!$C$29:$C$31,MATCH(C246,Settings!$A$29:$A$31,0)),"")="",N(F246),IF(SUMIFS($F$5:$F$304,$C$5:$C$304,C246&amp;"")=0,0,N(F246)/SUMIFS($F$5:$F$304,$C$5:$C$304,C246&amp;"")*INDEX(Settings!$C$29:$C$31,MATCH(C246,Settings!$A$29:$A$31,0)))))</f>
        <v/>
      </c>
      <c r="K246" s="21">
        <f>IF(C246="","",I246+J246)</f>
        <v/>
      </c>
      <c r="L246" s="14">
        <f>IF(C246="","",IF(H246=0,IF(ISNUMBER(MATCH(C246&amp;" - "&amp;D246,Settings!$D$11:$D$25,0)),"OK","Tier not in Settings"),IF(G246="Unmapped","Team key not in Teams","OK")))</f>
        <v/>
      </c>
    </row>
    <row r="247">
      <c r="A247" s="12" t="n"/>
      <c r="B247" s="12" t="n"/>
      <c r="C247" s="12" t="n"/>
      <c r="D247" s="12" t="n"/>
      <c r="E247" s="18" t="n"/>
      <c r="F247" s="13" t="n"/>
      <c r="G247" s="19">
        <f>IF(C247="","",IF(IFERROR(INDEX(Teams!$C$5:$C$104,MATCH(B247,Teams!$A$5:$A$104,0))&amp;"","")="","Unmapped",INDEX(Teams!$C$5:$C$104,MATCH(B247,Teams!$A$5:$A$104,0))))</f>
        <v/>
      </c>
      <c r="H247" s="20">
        <f>IF(C247="","",IFERROR(INDEX(Settings!$C$11:$C$25,MATCH(C247&amp;" - "&amp;D247,Settings!$D$11:$D$25,0)),0))</f>
        <v/>
      </c>
      <c r="I247" s="21">
        <f>IF(C247="","",H247*IF(E247="",1,E247/Settings!$B$4))</f>
        <v/>
      </c>
      <c r="J247" s="21">
        <f>IF(OR(C247="",C247="Claude Code"),0,IF(IFERROR(INDEX(Settings!$C$29:$C$31,MATCH(C247,Settings!$A$29:$A$31,0)),"")="",N(F247),IF(SUMIFS($F$5:$F$304,$C$5:$C$304,C247&amp;"")=0,0,N(F247)/SUMIFS($F$5:$F$304,$C$5:$C$304,C247&amp;"")*INDEX(Settings!$C$29:$C$31,MATCH(C247,Settings!$A$29:$A$31,0)))))</f>
        <v/>
      </c>
      <c r="K247" s="21">
        <f>IF(C247="","",I247+J247)</f>
        <v/>
      </c>
      <c r="L247" s="14">
        <f>IF(C247="","",IF(H247=0,IF(ISNUMBER(MATCH(C247&amp;" - "&amp;D247,Settings!$D$11:$D$25,0)),"OK","Tier not in Settings"),IF(G247="Unmapped","Team key not in Teams","OK")))</f>
        <v/>
      </c>
    </row>
    <row r="248">
      <c r="A248" s="12" t="n"/>
      <c r="B248" s="12" t="n"/>
      <c r="C248" s="12" t="n"/>
      <c r="D248" s="12" t="n"/>
      <c r="E248" s="18" t="n"/>
      <c r="F248" s="13" t="n"/>
      <c r="G248" s="19">
        <f>IF(C248="","",IF(IFERROR(INDEX(Teams!$C$5:$C$104,MATCH(B248,Teams!$A$5:$A$104,0))&amp;"","")="","Unmapped",INDEX(Teams!$C$5:$C$104,MATCH(B248,Teams!$A$5:$A$104,0))))</f>
        <v/>
      </c>
      <c r="H248" s="20">
        <f>IF(C248="","",IFERROR(INDEX(Settings!$C$11:$C$25,MATCH(C248&amp;" - "&amp;D248,Settings!$D$11:$D$25,0)),0))</f>
        <v/>
      </c>
      <c r="I248" s="21">
        <f>IF(C248="","",H248*IF(E248="",1,E248/Settings!$B$4))</f>
        <v/>
      </c>
      <c r="J248" s="21">
        <f>IF(OR(C248="",C248="Claude Code"),0,IF(IFERROR(INDEX(Settings!$C$29:$C$31,MATCH(C248,Settings!$A$29:$A$31,0)),"")="",N(F248),IF(SUMIFS($F$5:$F$304,$C$5:$C$304,C248&amp;"")=0,0,N(F248)/SUMIFS($F$5:$F$304,$C$5:$C$304,C248&amp;"")*INDEX(Settings!$C$29:$C$31,MATCH(C248,Settings!$A$29:$A$31,0)))))</f>
        <v/>
      </c>
      <c r="K248" s="21">
        <f>IF(C248="","",I248+J248)</f>
        <v/>
      </c>
      <c r="L248" s="14">
        <f>IF(C248="","",IF(H248=0,IF(ISNUMBER(MATCH(C248&amp;" - "&amp;D248,Settings!$D$11:$D$25,0)),"OK","Tier not in Settings"),IF(G248="Unmapped","Team key not in Teams","OK")))</f>
        <v/>
      </c>
    </row>
    <row r="249">
      <c r="A249" s="12" t="n"/>
      <c r="B249" s="12" t="n"/>
      <c r="C249" s="12" t="n"/>
      <c r="D249" s="12" t="n"/>
      <c r="E249" s="18" t="n"/>
      <c r="F249" s="13" t="n"/>
      <c r="G249" s="19">
        <f>IF(C249="","",IF(IFERROR(INDEX(Teams!$C$5:$C$104,MATCH(B249,Teams!$A$5:$A$104,0))&amp;"","")="","Unmapped",INDEX(Teams!$C$5:$C$104,MATCH(B249,Teams!$A$5:$A$104,0))))</f>
        <v/>
      </c>
      <c r="H249" s="20">
        <f>IF(C249="","",IFERROR(INDEX(Settings!$C$11:$C$25,MATCH(C249&amp;" - "&amp;D249,Settings!$D$11:$D$25,0)),0))</f>
        <v/>
      </c>
      <c r="I249" s="21">
        <f>IF(C249="","",H249*IF(E249="",1,E249/Settings!$B$4))</f>
        <v/>
      </c>
      <c r="J249" s="21">
        <f>IF(OR(C249="",C249="Claude Code"),0,IF(IFERROR(INDEX(Settings!$C$29:$C$31,MATCH(C249,Settings!$A$29:$A$31,0)),"")="",N(F249),IF(SUMIFS($F$5:$F$304,$C$5:$C$304,C249&amp;"")=0,0,N(F249)/SUMIFS($F$5:$F$304,$C$5:$C$304,C249&amp;"")*INDEX(Settings!$C$29:$C$31,MATCH(C249,Settings!$A$29:$A$31,0)))))</f>
        <v/>
      </c>
      <c r="K249" s="21">
        <f>IF(C249="","",I249+J249)</f>
        <v/>
      </c>
      <c r="L249" s="14">
        <f>IF(C249="","",IF(H249=0,IF(ISNUMBER(MATCH(C249&amp;" - "&amp;D249,Settings!$D$11:$D$25,0)),"OK","Tier not in Settings"),IF(G249="Unmapped","Team key not in Teams","OK")))</f>
        <v/>
      </c>
    </row>
    <row r="250">
      <c r="A250" s="12" t="n"/>
      <c r="B250" s="12" t="n"/>
      <c r="C250" s="12" t="n"/>
      <c r="D250" s="12" t="n"/>
      <c r="E250" s="18" t="n"/>
      <c r="F250" s="13" t="n"/>
      <c r="G250" s="19">
        <f>IF(C250="","",IF(IFERROR(INDEX(Teams!$C$5:$C$104,MATCH(B250,Teams!$A$5:$A$104,0))&amp;"","")="","Unmapped",INDEX(Teams!$C$5:$C$104,MATCH(B250,Teams!$A$5:$A$104,0))))</f>
        <v/>
      </c>
      <c r="H250" s="20">
        <f>IF(C250="","",IFERROR(INDEX(Settings!$C$11:$C$25,MATCH(C250&amp;" - "&amp;D250,Settings!$D$11:$D$25,0)),0))</f>
        <v/>
      </c>
      <c r="I250" s="21">
        <f>IF(C250="","",H250*IF(E250="",1,E250/Settings!$B$4))</f>
        <v/>
      </c>
      <c r="J250" s="21">
        <f>IF(OR(C250="",C250="Claude Code"),0,IF(IFERROR(INDEX(Settings!$C$29:$C$31,MATCH(C250,Settings!$A$29:$A$31,0)),"")="",N(F250),IF(SUMIFS($F$5:$F$304,$C$5:$C$304,C250&amp;"")=0,0,N(F250)/SUMIFS($F$5:$F$304,$C$5:$C$304,C250&amp;"")*INDEX(Settings!$C$29:$C$31,MATCH(C250,Settings!$A$29:$A$31,0)))))</f>
        <v/>
      </c>
      <c r="K250" s="21">
        <f>IF(C250="","",I250+J250)</f>
        <v/>
      </c>
      <c r="L250" s="14">
        <f>IF(C250="","",IF(H250=0,IF(ISNUMBER(MATCH(C250&amp;" - "&amp;D250,Settings!$D$11:$D$25,0)),"OK","Tier not in Settings"),IF(G250="Unmapped","Team key not in Teams","OK")))</f>
        <v/>
      </c>
    </row>
    <row r="251">
      <c r="A251" s="12" t="n"/>
      <c r="B251" s="12" t="n"/>
      <c r="C251" s="12" t="n"/>
      <c r="D251" s="12" t="n"/>
      <c r="E251" s="18" t="n"/>
      <c r="F251" s="13" t="n"/>
      <c r="G251" s="19">
        <f>IF(C251="","",IF(IFERROR(INDEX(Teams!$C$5:$C$104,MATCH(B251,Teams!$A$5:$A$104,0))&amp;"","")="","Unmapped",INDEX(Teams!$C$5:$C$104,MATCH(B251,Teams!$A$5:$A$104,0))))</f>
        <v/>
      </c>
      <c r="H251" s="20">
        <f>IF(C251="","",IFERROR(INDEX(Settings!$C$11:$C$25,MATCH(C251&amp;" - "&amp;D251,Settings!$D$11:$D$25,0)),0))</f>
        <v/>
      </c>
      <c r="I251" s="21">
        <f>IF(C251="","",H251*IF(E251="",1,E251/Settings!$B$4))</f>
        <v/>
      </c>
      <c r="J251" s="21">
        <f>IF(OR(C251="",C251="Claude Code"),0,IF(IFERROR(INDEX(Settings!$C$29:$C$31,MATCH(C251,Settings!$A$29:$A$31,0)),"")="",N(F251),IF(SUMIFS($F$5:$F$304,$C$5:$C$304,C251&amp;"")=0,0,N(F251)/SUMIFS($F$5:$F$304,$C$5:$C$304,C251&amp;"")*INDEX(Settings!$C$29:$C$31,MATCH(C251,Settings!$A$29:$A$31,0)))))</f>
        <v/>
      </c>
      <c r="K251" s="21">
        <f>IF(C251="","",I251+J251)</f>
        <v/>
      </c>
      <c r="L251" s="14">
        <f>IF(C251="","",IF(H251=0,IF(ISNUMBER(MATCH(C251&amp;" - "&amp;D251,Settings!$D$11:$D$25,0)),"OK","Tier not in Settings"),IF(G251="Unmapped","Team key not in Teams","OK")))</f>
        <v/>
      </c>
    </row>
    <row r="252">
      <c r="A252" s="12" t="n"/>
      <c r="B252" s="12" t="n"/>
      <c r="C252" s="12" t="n"/>
      <c r="D252" s="12" t="n"/>
      <c r="E252" s="18" t="n"/>
      <c r="F252" s="13" t="n"/>
      <c r="G252" s="19">
        <f>IF(C252="","",IF(IFERROR(INDEX(Teams!$C$5:$C$104,MATCH(B252,Teams!$A$5:$A$104,0))&amp;"","")="","Unmapped",INDEX(Teams!$C$5:$C$104,MATCH(B252,Teams!$A$5:$A$104,0))))</f>
        <v/>
      </c>
      <c r="H252" s="20">
        <f>IF(C252="","",IFERROR(INDEX(Settings!$C$11:$C$25,MATCH(C252&amp;" - "&amp;D252,Settings!$D$11:$D$25,0)),0))</f>
        <v/>
      </c>
      <c r="I252" s="21">
        <f>IF(C252="","",H252*IF(E252="",1,E252/Settings!$B$4))</f>
        <v/>
      </c>
      <c r="J252" s="21">
        <f>IF(OR(C252="",C252="Claude Code"),0,IF(IFERROR(INDEX(Settings!$C$29:$C$31,MATCH(C252,Settings!$A$29:$A$31,0)),"")="",N(F252),IF(SUMIFS($F$5:$F$304,$C$5:$C$304,C252&amp;"")=0,0,N(F252)/SUMIFS($F$5:$F$304,$C$5:$C$304,C252&amp;"")*INDEX(Settings!$C$29:$C$31,MATCH(C252,Settings!$A$29:$A$31,0)))))</f>
        <v/>
      </c>
      <c r="K252" s="21">
        <f>IF(C252="","",I252+J252)</f>
        <v/>
      </c>
      <c r="L252" s="14">
        <f>IF(C252="","",IF(H252=0,IF(ISNUMBER(MATCH(C252&amp;" - "&amp;D252,Settings!$D$11:$D$25,0)),"OK","Tier not in Settings"),IF(G252="Unmapped","Team key not in Teams","OK")))</f>
        <v/>
      </c>
    </row>
    <row r="253">
      <c r="A253" s="12" t="n"/>
      <c r="B253" s="12" t="n"/>
      <c r="C253" s="12" t="n"/>
      <c r="D253" s="12" t="n"/>
      <c r="E253" s="18" t="n"/>
      <c r="F253" s="13" t="n"/>
      <c r="G253" s="19">
        <f>IF(C253="","",IF(IFERROR(INDEX(Teams!$C$5:$C$104,MATCH(B253,Teams!$A$5:$A$104,0))&amp;"","")="","Unmapped",INDEX(Teams!$C$5:$C$104,MATCH(B253,Teams!$A$5:$A$104,0))))</f>
        <v/>
      </c>
      <c r="H253" s="20">
        <f>IF(C253="","",IFERROR(INDEX(Settings!$C$11:$C$25,MATCH(C253&amp;" - "&amp;D253,Settings!$D$11:$D$25,0)),0))</f>
        <v/>
      </c>
      <c r="I253" s="21">
        <f>IF(C253="","",H253*IF(E253="",1,E253/Settings!$B$4))</f>
        <v/>
      </c>
      <c r="J253" s="21">
        <f>IF(OR(C253="",C253="Claude Code"),0,IF(IFERROR(INDEX(Settings!$C$29:$C$31,MATCH(C253,Settings!$A$29:$A$31,0)),"")="",N(F253),IF(SUMIFS($F$5:$F$304,$C$5:$C$304,C253&amp;"")=0,0,N(F253)/SUMIFS($F$5:$F$304,$C$5:$C$304,C253&amp;"")*INDEX(Settings!$C$29:$C$31,MATCH(C253,Settings!$A$29:$A$31,0)))))</f>
        <v/>
      </c>
      <c r="K253" s="21">
        <f>IF(C253="","",I253+J253)</f>
        <v/>
      </c>
      <c r="L253" s="14">
        <f>IF(C253="","",IF(H253=0,IF(ISNUMBER(MATCH(C253&amp;" - "&amp;D253,Settings!$D$11:$D$25,0)),"OK","Tier not in Settings"),IF(G253="Unmapped","Team key not in Teams","OK")))</f>
        <v/>
      </c>
    </row>
    <row r="254">
      <c r="A254" s="12" t="n"/>
      <c r="B254" s="12" t="n"/>
      <c r="C254" s="12" t="n"/>
      <c r="D254" s="12" t="n"/>
      <c r="E254" s="18" t="n"/>
      <c r="F254" s="13" t="n"/>
      <c r="G254" s="19">
        <f>IF(C254="","",IF(IFERROR(INDEX(Teams!$C$5:$C$104,MATCH(B254,Teams!$A$5:$A$104,0))&amp;"","")="","Unmapped",INDEX(Teams!$C$5:$C$104,MATCH(B254,Teams!$A$5:$A$104,0))))</f>
        <v/>
      </c>
      <c r="H254" s="20">
        <f>IF(C254="","",IFERROR(INDEX(Settings!$C$11:$C$25,MATCH(C254&amp;" - "&amp;D254,Settings!$D$11:$D$25,0)),0))</f>
        <v/>
      </c>
      <c r="I254" s="21">
        <f>IF(C254="","",H254*IF(E254="",1,E254/Settings!$B$4))</f>
        <v/>
      </c>
      <c r="J254" s="21">
        <f>IF(OR(C254="",C254="Claude Code"),0,IF(IFERROR(INDEX(Settings!$C$29:$C$31,MATCH(C254,Settings!$A$29:$A$31,0)),"")="",N(F254),IF(SUMIFS($F$5:$F$304,$C$5:$C$304,C254&amp;"")=0,0,N(F254)/SUMIFS($F$5:$F$304,$C$5:$C$304,C254&amp;"")*INDEX(Settings!$C$29:$C$31,MATCH(C254,Settings!$A$29:$A$31,0)))))</f>
        <v/>
      </c>
      <c r="K254" s="21">
        <f>IF(C254="","",I254+J254)</f>
        <v/>
      </c>
      <c r="L254" s="14">
        <f>IF(C254="","",IF(H254=0,IF(ISNUMBER(MATCH(C254&amp;" - "&amp;D254,Settings!$D$11:$D$25,0)),"OK","Tier not in Settings"),IF(G254="Unmapped","Team key not in Teams","OK")))</f>
        <v/>
      </c>
    </row>
    <row r="255">
      <c r="A255" s="12" t="n"/>
      <c r="B255" s="12" t="n"/>
      <c r="C255" s="12" t="n"/>
      <c r="D255" s="12" t="n"/>
      <c r="E255" s="18" t="n"/>
      <c r="F255" s="13" t="n"/>
      <c r="G255" s="19">
        <f>IF(C255="","",IF(IFERROR(INDEX(Teams!$C$5:$C$104,MATCH(B255,Teams!$A$5:$A$104,0))&amp;"","")="","Unmapped",INDEX(Teams!$C$5:$C$104,MATCH(B255,Teams!$A$5:$A$104,0))))</f>
        <v/>
      </c>
      <c r="H255" s="20">
        <f>IF(C255="","",IFERROR(INDEX(Settings!$C$11:$C$25,MATCH(C255&amp;" - "&amp;D255,Settings!$D$11:$D$25,0)),0))</f>
        <v/>
      </c>
      <c r="I255" s="21">
        <f>IF(C255="","",H255*IF(E255="",1,E255/Settings!$B$4))</f>
        <v/>
      </c>
      <c r="J255" s="21">
        <f>IF(OR(C255="",C255="Claude Code"),0,IF(IFERROR(INDEX(Settings!$C$29:$C$31,MATCH(C255,Settings!$A$29:$A$31,0)),"")="",N(F255),IF(SUMIFS($F$5:$F$304,$C$5:$C$304,C255&amp;"")=0,0,N(F255)/SUMIFS($F$5:$F$304,$C$5:$C$304,C255&amp;"")*INDEX(Settings!$C$29:$C$31,MATCH(C255,Settings!$A$29:$A$31,0)))))</f>
        <v/>
      </c>
      <c r="K255" s="21">
        <f>IF(C255="","",I255+J255)</f>
        <v/>
      </c>
      <c r="L255" s="14">
        <f>IF(C255="","",IF(H255=0,IF(ISNUMBER(MATCH(C255&amp;" - "&amp;D255,Settings!$D$11:$D$25,0)),"OK","Tier not in Settings"),IF(G255="Unmapped","Team key not in Teams","OK")))</f>
        <v/>
      </c>
    </row>
    <row r="256">
      <c r="A256" s="12" t="n"/>
      <c r="B256" s="12" t="n"/>
      <c r="C256" s="12" t="n"/>
      <c r="D256" s="12" t="n"/>
      <c r="E256" s="18" t="n"/>
      <c r="F256" s="13" t="n"/>
      <c r="G256" s="19">
        <f>IF(C256="","",IF(IFERROR(INDEX(Teams!$C$5:$C$104,MATCH(B256,Teams!$A$5:$A$104,0))&amp;"","")="","Unmapped",INDEX(Teams!$C$5:$C$104,MATCH(B256,Teams!$A$5:$A$104,0))))</f>
        <v/>
      </c>
      <c r="H256" s="20">
        <f>IF(C256="","",IFERROR(INDEX(Settings!$C$11:$C$25,MATCH(C256&amp;" - "&amp;D256,Settings!$D$11:$D$25,0)),0))</f>
        <v/>
      </c>
      <c r="I256" s="21">
        <f>IF(C256="","",H256*IF(E256="",1,E256/Settings!$B$4))</f>
        <v/>
      </c>
      <c r="J256" s="21">
        <f>IF(OR(C256="",C256="Claude Code"),0,IF(IFERROR(INDEX(Settings!$C$29:$C$31,MATCH(C256,Settings!$A$29:$A$31,0)),"")="",N(F256),IF(SUMIFS($F$5:$F$304,$C$5:$C$304,C256&amp;"")=0,0,N(F256)/SUMIFS($F$5:$F$304,$C$5:$C$304,C256&amp;"")*INDEX(Settings!$C$29:$C$31,MATCH(C256,Settings!$A$29:$A$31,0)))))</f>
        <v/>
      </c>
      <c r="K256" s="21">
        <f>IF(C256="","",I256+J256)</f>
        <v/>
      </c>
      <c r="L256" s="14">
        <f>IF(C256="","",IF(H256=0,IF(ISNUMBER(MATCH(C256&amp;" - "&amp;D256,Settings!$D$11:$D$25,0)),"OK","Tier not in Settings"),IF(G256="Unmapped","Team key not in Teams","OK")))</f>
        <v/>
      </c>
    </row>
    <row r="257">
      <c r="A257" s="12" t="n"/>
      <c r="B257" s="12" t="n"/>
      <c r="C257" s="12" t="n"/>
      <c r="D257" s="12" t="n"/>
      <c r="E257" s="18" t="n"/>
      <c r="F257" s="13" t="n"/>
      <c r="G257" s="19">
        <f>IF(C257="","",IF(IFERROR(INDEX(Teams!$C$5:$C$104,MATCH(B257,Teams!$A$5:$A$104,0))&amp;"","")="","Unmapped",INDEX(Teams!$C$5:$C$104,MATCH(B257,Teams!$A$5:$A$104,0))))</f>
        <v/>
      </c>
      <c r="H257" s="20">
        <f>IF(C257="","",IFERROR(INDEX(Settings!$C$11:$C$25,MATCH(C257&amp;" - "&amp;D257,Settings!$D$11:$D$25,0)),0))</f>
        <v/>
      </c>
      <c r="I257" s="21">
        <f>IF(C257="","",H257*IF(E257="",1,E257/Settings!$B$4))</f>
        <v/>
      </c>
      <c r="J257" s="21">
        <f>IF(OR(C257="",C257="Claude Code"),0,IF(IFERROR(INDEX(Settings!$C$29:$C$31,MATCH(C257,Settings!$A$29:$A$31,0)),"")="",N(F257),IF(SUMIFS($F$5:$F$304,$C$5:$C$304,C257&amp;"")=0,0,N(F257)/SUMIFS($F$5:$F$304,$C$5:$C$304,C257&amp;"")*INDEX(Settings!$C$29:$C$31,MATCH(C257,Settings!$A$29:$A$31,0)))))</f>
        <v/>
      </c>
      <c r="K257" s="21">
        <f>IF(C257="","",I257+J257)</f>
        <v/>
      </c>
      <c r="L257" s="14">
        <f>IF(C257="","",IF(H257=0,IF(ISNUMBER(MATCH(C257&amp;" - "&amp;D257,Settings!$D$11:$D$25,0)),"OK","Tier not in Settings"),IF(G257="Unmapped","Team key not in Teams","OK")))</f>
        <v/>
      </c>
    </row>
    <row r="258">
      <c r="A258" s="12" t="n"/>
      <c r="B258" s="12" t="n"/>
      <c r="C258" s="12" t="n"/>
      <c r="D258" s="12" t="n"/>
      <c r="E258" s="18" t="n"/>
      <c r="F258" s="13" t="n"/>
      <c r="G258" s="19">
        <f>IF(C258="","",IF(IFERROR(INDEX(Teams!$C$5:$C$104,MATCH(B258,Teams!$A$5:$A$104,0))&amp;"","")="","Unmapped",INDEX(Teams!$C$5:$C$104,MATCH(B258,Teams!$A$5:$A$104,0))))</f>
        <v/>
      </c>
      <c r="H258" s="20">
        <f>IF(C258="","",IFERROR(INDEX(Settings!$C$11:$C$25,MATCH(C258&amp;" - "&amp;D258,Settings!$D$11:$D$25,0)),0))</f>
        <v/>
      </c>
      <c r="I258" s="21">
        <f>IF(C258="","",H258*IF(E258="",1,E258/Settings!$B$4))</f>
        <v/>
      </c>
      <c r="J258" s="21">
        <f>IF(OR(C258="",C258="Claude Code"),0,IF(IFERROR(INDEX(Settings!$C$29:$C$31,MATCH(C258,Settings!$A$29:$A$31,0)),"")="",N(F258),IF(SUMIFS($F$5:$F$304,$C$5:$C$304,C258&amp;"")=0,0,N(F258)/SUMIFS($F$5:$F$304,$C$5:$C$304,C258&amp;"")*INDEX(Settings!$C$29:$C$31,MATCH(C258,Settings!$A$29:$A$31,0)))))</f>
        <v/>
      </c>
      <c r="K258" s="21">
        <f>IF(C258="","",I258+J258)</f>
        <v/>
      </c>
      <c r="L258" s="14">
        <f>IF(C258="","",IF(H258=0,IF(ISNUMBER(MATCH(C258&amp;" - "&amp;D258,Settings!$D$11:$D$25,0)),"OK","Tier not in Settings"),IF(G258="Unmapped","Team key not in Teams","OK")))</f>
        <v/>
      </c>
    </row>
    <row r="259">
      <c r="A259" s="12" t="n"/>
      <c r="B259" s="12" t="n"/>
      <c r="C259" s="12" t="n"/>
      <c r="D259" s="12" t="n"/>
      <c r="E259" s="18" t="n"/>
      <c r="F259" s="13" t="n"/>
      <c r="G259" s="19">
        <f>IF(C259="","",IF(IFERROR(INDEX(Teams!$C$5:$C$104,MATCH(B259,Teams!$A$5:$A$104,0))&amp;"","")="","Unmapped",INDEX(Teams!$C$5:$C$104,MATCH(B259,Teams!$A$5:$A$104,0))))</f>
        <v/>
      </c>
      <c r="H259" s="20">
        <f>IF(C259="","",IFERROR(INDEX(Settings!$C$11:$C$25,MATCH(C259&amp;" - "&amp;D259,Settings!$D$11:$D$25,0)),0))</f>
        <v/>
      </c>
      <c r="I259" s="21">
        <f>IF(C259="","",H259*IF(E259="",1,E259/Settings!$B$4))</f>
        <v/>
      </c>
      <c r="J259" s="21">
        <f>IF(OR(C259="",C259="Claude Code"),0,IF(IFERROR(INDEX(Settings!$C$29:$C$31,MATCH(C259,Settings!$A$29:$A$31,0)),"")="",N(F259),IF(SUMIFS($F$5:$F$304,$C$5:$C$304,C259&amp;"")=0,0,N(F259)/SUMIFS($F$5:$F$304,$C$5:$C$304,C259&amp;"")*INDEX(Settings!$C$29:$C$31,MATCH(C259,Settings!$A$29:$A$31,0)))))</f>
        <v/>
      </c>
      <c r="K259" s="21">
        <f>IF(C259="","",I259+J259)</f>
        <v/>
      </c>
      <c r="L259" s="14">
        <f>IF(C259="","",IF(H259=0,IF(ISNUMBER(MATCH(C259&amp;" - "&amp;D259,Settings!$D$11:$D$25,0)),"OK","Tier not in Settings"),IF(G259="Unmapped","Team key not in Teams","OK")))</f>
        <v/>
      </c>
    </row>
    <row r="260">
      <c r="A260" s="12" t="n"/>
      <c r="B260" s="12" t="n"/>
      <c r="C260" s="12" t="n"/>
      <c r="D260" s="12" t="n"/>
      <c r="E260" s="18" t="n"/>
      <c r="F260" s="13" t="n"/>
      <c r="G260" s="19">
        <f>IF(C260="","",IF(IFERROR(INDEX(Teams!$C$5:$C$104,MATCH(B260,Teams!$A$5:$A$104,0))&amp;"","")="","Unmapped",INDEX(Teams!$C$5:$C$104,MATCH(B260,Teams!$A$5:$A$104,0))))</f>
        <v/>
      </c>
      <c r="H260" s="20">
        <f>IF(C260="","",IFERROR(INDEX(Settings!$C$11:$C$25,MATCH(C260&amp;" - "&amp;D260,Settings!$D$11:$D$25,0)),0))</f>
        <v/>
      </c>
      <c r="I260" s="21">
        <f>IF(C260="","",H260*IF(E260="",1,E260/Settings!$B$4))</f>
        <v/>
      </c>
      <c r="J260" s="21">
        <f>IF(OR(C260="",C260="Claude Code"),0,IF(IFERROR(INDEX(Settings!$C$29:$C$31,MATCH(C260,Settings!$A$29:$A$31,0)),"")="",N(F260),IF(SUMIFS($F$5:$F$304,$C$5:$C$304,C260&amp;"")=0,0,N(F260)/SUMIFS($F$5:$F$304,$C$5:$C$304,C260&amp;"")*INDEX(Settings!$C$29:$C$31,MATCH(C260,Settings!$A$29:$A$31,0)))))</f>
        <v/>
      </c>
      <c r="K260" s="21">
        <f>IF(C260="","",I260+J260)</f>
        <v/>
      </c>
      <c r="L260" s="14">
        <f>IF(C260="","",IF(H260=0,IF(ISNUMBER(MATCH(C260&amp;" - "&amp;D260,Settings!$D$11:$D$25,0)),"OK","Tier not in Settings"),IF(G260="Unmapped","Team key not in Teams","OK")))</f>
        <v/>
      </c>
    </row>
    <row r="261">
      <c r="A261" s="12" t="n"/>
      <c r="B261" s="12" t="n"/>
      <c r="C261" s="12" t="n"/>
      <c r="D261" s="12" t="n"/>
      <c r="E261" s="18" t="n"/>
      <c r="F261" s="13" t="n"/>
      <c r="G261" s="19">
        <f>IF(C261="","",IF(IFERROR(INDEX(Teams!$C$5:$C$104,MATCH(B261,Teams!$A$5:$A$104,0))&amp;"","")="","Unmapped",INDEX(Teams!$C$5:$C$104,MATCH(B261,Teams!$A$5:$A$104,0))))</f>
        <v/>
      </c>
      <c r="H261" s="20">
        <f>IF(C261="","",IFERROR(INDEX(Settings!$C$11:$C$25,MATCH(C261&amp;" - "&amp;D261,Settings!$D$11:$D$25,0)),0))</f>
        <v/>
      </c>
      <c r="I261" s="21">
        <f>IF(C261="","",H261*IF(E261="",1,E261/Settings!$B$4))</f>
        <v/>
      </c>
      <c r="J261" s="21">
        <f>IF(OR(C261="",C261="Claude Code"),0,IF(IFERROR(INDEX(Settings!$C$29:$C$31,MATCH(C261,Settings!$A$29:$A$31,0)),"")="",N(F261),IF(SUMIFS($F$5:$F$304,$C$5:$C$304,C261&amp;"")=0,0,N(F261)/SUMIFS($F$5:$F$304,$C$5:$C$304,C261&amp;"")*INDEX(Settings!$C$29:$C$31,MATCH(C261,Settings!$A$29:$A$31,0)))))</f>
        <v/>
      </c>
      <c r="K261" s="21">
        <f>IF(C261="","",I261+J261)</f>
        <v/>
      </c>
      <c r="L261" s="14">
        <f>IF(C261="","",IF(H261=0,IF(ISNUMBER(MATCH(C261&amp;" - "&amp;D261,Settings!$D$11:$D$25,0)),"OK","Tier not in Settings"),IF(G261="Unmapped","Team key not in Teams","OK")))</f>
        <v/>
      </c>
    </row>
    <row r="262">
      <c r="A262" s="12" t="n"/>
      <c r="B262" s="12" t="n"/>
      <c r="C262" s="12" t="n"/>
      <c r="D262" s="12" t="n"/>
      <c r="E262" s="18" t="n"/>
      <c r="F262" s="13" t="n"/>
      <c r="G262" s="19">
        <f>IF(C262="","",IF(IFERROR(INDEX(Teams!$C$5:$C$104,MATCH(B262,Teams!$A$5:$A$104,0))&amp;"","")="","Unmapped",INDEX(Teams!$C$5:$C$104,MATCH(B262,Teams!$A$5:$A$104,0))))</f>
        <v/>
      </c>
      <c r="H262" s="20">
        <f>IF(C262="","",IFERROR(INDEX(Settings!$C$11:$C$25,MATCH(C262&amp;" - "&amp;D262,Settings!$D$11:$D$25,0)),0))</f>
        <v/>
      </c>
      <c r="I262" s="21">
        <f>IF(C262="","",H262*IF(E262="",1,E262/Settings!$B$4))</f>
        <v/>
      </c>
      <c r="J262" s="21">
        <f>IF(OR(C262="",C262="Claude Code"),0,IF(IFERROR(INDEX(Settings!$C$29:$C$31,MATCH(C262,Settings!$A$29:$A$31,0)),"")="",N(F262),IF(SUMIFS($F$5:$F$304,$C$5:$C$304,C262&amp;"")=0,0,N(F262)/SUMIFS($F$5:$F$304,$C$5:$C$304,C262&amp;"")*INDEX(Settings!$C$29:$C$31,MATCH(C262,Settings!$A$29:$A$31,0)))))</f>
        <v/>
      </c>
      <c r="K262" s="21">
        <f>IF(C262="","",I262+J262)</f>
        <v/>
      </c>
      <c r="L262" s="14">
        <f>IF(C262="","",IF(H262=0,IF(ISNUMBER(MATCH(C262&amp;" - "&amp;D262,Settings!$D$11:$D$25,0)),"OK","Tier not in Settings"),IF(G262="Unmapped","Team key not in Teams","OK")))</f>
        <v/>
      </c>
    </row>
    <row r="263">
      <c r="A263" s="12" t="n"/>
      <c r="B263" s="12" t="n"/>
      <c r="C263" s="12" t="n"/>
      <c r="D263" s="12" t="n"/>
      <c r="E263" s="18" t="n"/>
      <c r="F263" s="13" t="n"/>
      <c r="G263" s="19">
        <f>IF(C263="","",IF(IFERROR(INDEX(Teams!$C$5:$C$104,MATCH(B263,Teams!$A$5:$A$104,0))&amp;"","")="","Unmapped",INDEX(Teams!$C$5:$C$104,MATCH(B263,Teams!$A$5:$A$104,0))))</f>
        <v/>
      </c>
      <c r="H263" s="20">
        <f>IF(C263="","",IFERROR(INDEX(Settings!$C$11:$C$25,MATCH(C263&amp;" - "&amp;D263,Settings!$D$11:$D$25,0)),0))</f>
        <v/>
      </c>
      <c r="I263" s="21">
        <f>IF(C263="","",H263*IF(E263="",1,E263/Settings!$B$4))</f>
        <v/>
      </c>
      <c r="J263" s="21">
        <f>IF(OR(C263="",C263="Claude Code"),0,IF(IFERROR(INDEX(Settings!$C$29:$C$31,MATCH(C263,Settings!$A$29:$A$31,0)),"")="",N(F263),IF(SUMIFS($F$5:$F$304,$C$5:$C$304,C263&amp;"")=0,0,N(F263)/SUMIFS($F$5:$F$304,$C$5:$C$304,C263&amp;"")*INDEX(Settings!$C$29:$C$31,MATCH(C263,Settings!$A$29:$A$31,0)))))</f>
        <v/>
      </c>
      <c r="K263" s="21">
        <f>IF(C263="","",I263+J263)</f>
        <v/>
      </c>
      <c r="L263" s="14">
        <f>IF(C263="","",IF(H263=0,IF(ISNUMBER(MATCH(C263&amp;" - "&amp;D263,Settings!$D$11:$D$25,0)),"OK","Tier not in Settings"),IF(G263="Unmapped","Team key not in Teams","OK")))</f>
        <v/>
      </c>
    </row>
    <row r="264">
      <c r="A264" s="12" t="n"/>
      <c r="B264" s="12" t="n"/>
      <c r="C264" s="12" t="n"/>
      <c r="D264" s="12" t="n"/>
      <c r="E264" s="18" t="n"/>
      <c r="F264" s="13" t="n"/>
      <c r="G264" s="19">
        <f>IF(C264="","",IF(IFERROR(INDEX(Teams!$C$5:$C$104,MATCH(B264,Teams!$A$5:$A$104,0))&amp;"","")="","Unmapped",INDEX(Teams!$C$5:$C$104,MATCH(B264,Teams!$A$5:$A$104,0))))</f>
        <v/>
      </c>
      <c r="H264" s="20">
        <f>IF(C264="","",IFERROR(INDEX(Settings!$C$11:$C$25,MATCH(C264&amp;" - "&amp;D264,Settings!$D$11:$D$25,0)),0))</f>
        <v/>
      </c>
      <c r="I264" s="21">
        <f>IF(C264="","",H264*IF(E264="",1,E264/Settings!$B$4))</f>
        <v/>
      </c>
      <c r="J264" s="21">
        <f>IF(OR(C264="",C264="Claude Code"),0,IF(IFERROR(INDEX(Settings!$C$29:$C$31,MATCH(C264,Settings!$A$29:$A$31,0)),"")="",N(F264),IF(SUMIFS($F$5:$F$304,$C$5:$C$304,C264&amp;"")=0,0,N(F264)/SUMIFS($F$5:$F$304,$C$5:$C$304,C264&amp;"")*INDEX(Settings!$C$29:$C$31,MATCH(C264,Settings!$A$29:$A$31,0)))))</f>
        <v/>
      </c>
      <c r="K264" s="21">
        <f>IF(C264="","",I264+J264)</f>
        <v/>
      </c>
      <c r="L264" s="14">
        <f>IF(C264="","",IF(H264=0,IF(ISNUMBER(MATCH(C264&amp;" - "&amp;D264,Settings!$D$11:$D$25,0)),"OK","Tier not in Settings"),IF(G264="Unmapped","Team key not in Teams","OK")))</f>
        <v/>
      </c>
    </row>
    <row r="265">
      <c r="A265" s="12" t="n"/>
      <c r="B265" s="12" t="n"/>
      <c r="C265" s="12" t="n"/>
      <c r="D265" s="12" t="n"/>
      <c r="E265" s="18" t="n"/>
      <c r="F265" s="13" t="n"/>
      <c r="G265" s="19">
        <f>IF(C265="","",IF(IFERROR(INDEX(Teams!$C$5:$C$104,MATCH(B265,Teams!$A$5:$A$104,0))&amp;"","")="","Unmapped",INDEX(Teams!$C$5:$C$104,MATCH(B265,Teams!$A$5:$A$104,0))))</f>
        <v/>
      </c>
      <c r="H265" s="20">
        <f>IF(C265="","",IFERROR(INDEX(Settings!$C$11:$C$25,MATCH(C265&amp;" - "&amp;D265,Settings!$D$11:$D$25,0)),0))</f>
        <v/>
      </c>
      <c r="I265" s="21">
        <f>IF(C265="","",H265*IF(E265="",1,E265/Settings!$B$4))</f>
        <v/>
      </c>
      <c r="J265" s="21">
        <f>IF(OR(C265="",C265="Claude Code"),0,IF(IFERROR(INDEX(Settings!$C$29:$C$31,MATCH(C265,Settings!$A$29:$A$31,0)),"")="",N(F265),IF(SUMIFS($F$5:$F$304,$C$5:$C$304,C265&amp;"")=0,0,N(F265)/SUMIFS($F$5:$F$304,$C$5:$C$304,C265&amp;"")*INDEX(Settings!$C$29:$C$31,MATCH(C265,Settings!$A$29:$A$31,0)))))</f>
        <v/>
      </c>
      <c r="K265" s="21">
        <f>IF(C265="","",I265+J265)</f>
        <v/>
      </c>
      <c r="L265" s="14">
        <f>IF(C265="","",IF(H265=0,IF(ISNUMBER(MATCH(C265&amp;" - "&amp;D265,Settings!$D$11:$D$25,0)),"OK","Tier not in Settings"),IF(G265="Unmapped","Team key not in Teams","OK")))</f>
        <v/>
      </c>
    </row>
    <row r="266">
      <c r="A266" s="12" t="n"/>
      <c r="B266" s="12" t="n"/>
      <c r="C266" s="12" t="n"/>
      <c r="D266" s="12" t="n"/>
      <c r="E266" s="18" t="n"/>
      <c r="F266" s="13" t="n"/>
      <c r="G266" s="19">
        <f>IF(C266="","",IF(IFERROR(INDEX(Teams!$C$5:$C$104,MATCH(B266,Teams!$A$5:$A$104,0))&amp;"","")="","Unmapped",INDEX(Teams!$C$5:$C$104,MATCH(B266,Teams!$A$5:$A$104,0))))</f>
        <v/>
      </c>
      <c r="H266" s="20">
        <f>IF(C266="","",IFERROR(INDEX(Settings!$C$11:$C$25,MATCH(C266&amp;" - "&amp;D266,Settings!$D$11:$D$25,0)),0))</f>
        <v/>
      </c>
      <c r="I266" s="21">
        <f>IF(C266="","",H266*IF(E266="",1,E266/Settings!$B$4))</f>
        <v/>
      </c>
      <c r="J266" s="21">
        <f>IF(OR(C266="",C266="Claude Code"),0,IF(IFERROR(INDEX(Settings!$C$29:$C$31,MATCH(C266,Settings!$A$29:$A$31,0)),"")="",N(F266),IF(SUMIFS($F$5:$F$304,$C$5:$C$304,C266&amp;"")=0,0,N(F266)/SUMIFS($F$5:$F$304,$C$5:$C$304,C266&amp;"")*INDEX(Settings!$C$29:$C$31,MATCH(C266,Settings!$A$29:$A$31,0)))))</f>
        <v/>
      </c>
      <c r="K266" s="21">
        <f>IF(C266="","",I266+J266)</f>
        <v/>
      </c>
      <c r="L266" s="14">
        <f>IF(C266="","",IF(H266=0,IF(ISNUMBER(MATCH(C266&amp;" - "&amp;D266,Settings!$D$11:$D$25,0)),"OK","Tier not in Settings"),IF(G266="Unmapped","Team key not in Teams","OK")))</f>
        <v/>
      </c>
    </row>
    <row r="267">
      <c r="A267" s="12" t="n"/>
      <c r="B267" s="12" t="n"/>
      <c r="C267" s="12" t="n"/>
      <c r="D267" s="12" t="n"/>
      <c r="E267" s="18" t="n"/>
      <c r="F267" s="13" t="n"/>
      <c r="G267" s="19">
        <f>IF(C267="","",IF(IFERROR(INDEX(Teams!$C$5:$C$104,MATCH(B267,Teams!$A$5:$A$104,0))&amp;"","")="","Unmapped",INDEX(Teams!$C$5:$C$104,MATCH(B267,Teams!$A$5:$A$104,0))))</f>
        <v/>
      </c>
      <c r="H267" s="20">
        <f>IF(C267="","",IFERROR(INDEX(Settings!$C$11:$C$25,MATCH(C267&amp;" - "&amp;D267,Settings!$D$11:$D$25,0)),0))</f>
        <v/>
      </c>
      <c r="I267" s="21">
        <f>IF(C267="","",H267*IF(E267="",1,E267/Settings!$B$4))</f>
        <v/>
      </c>
      <c r="J267" s="21">
        <f>IF(OR(C267="",C267="Claude Code"),0,IF(IFERROR(INDEX(Settings!$C$29:$C$31,MATCH(C267,Settings!$A$29:$A$31,0)),"")="",N(F267),IF(SUMIFS($F$5:$F$304,$C$5:$C$304,C267&amp;"")=0,0,N(F267)/SUMIFS($F$5:$F$304,$C$5:$C$304,C267&amp;"")*INDEX(Settings!$C$29:$C$31,MATCH(C267,Settings!$A$29:$A$31,0)))))</f>
        <v/>
      </c>
      <c r="K267" s="21">
        <f>IF(C267="","",I267+J267)</f>
        <v/>
      </c>
      <c r="L267" s="14">
        <f>IF(C267="","",IF(H267=0,IF(ISNUMBER(MATCH(C267&amp;" - "&amp;D267,Settings!$D$11:$D$25,0)),"OK","Tier not in Settings"),IF(G267="Unmapped","Team key not in Teams","OK")))</f>
        <v/>
      </c>
    </row>
    <row r="268">
      <c r="A268" s="12" t="n"/>
      <c r="B268" s="12" t="n"/>
      <c r="C268" s="12" t="n"/>
      <c r="D268" s="12" t="n"/>
      <c r="E268" s="18" t="n"/>
      <c r="F268" s="13" t="n"/>
      <c r="G268" s="19">
        <f>IF(C268="","",IF(IFERROR(INDEX(Teams!$C$5:$C$104,MATCH(B268,Teams!$A$5:$A$104,0))&amp;"","")="","Unmapped",INDEX(Teams!$C$5:$C$104,MATCH(B268,Teams!$A$5:$A$104,0))))</f>
        <v/>
      </c>
      <c r="H268" s="20">
        <f>IF(C268="","",IFERROR(INDEX(Settings!$C$11:$C$25,MATCH(C268&amp;" - "&amp;D268,Settings!$D$11:$D$25,0)),0))</f>
        <v/>
      </c>
      <c r="I268" s="21">
        <f>IF(C268="","",H268*IF(E268="",1,E268/Settings!$B$4))</f>
        <v/>
      </c>
      <c r="J268" s="21">
        <f>IF(OR(C268="",C268="Claude Code"),0,IF(IFERROR(INDEX(Settings!$C$29:$C$31,MATCH(C268,Settings!$A$29:$A$31,0)),"")="",N(F268),IF(SUMIFS($F$5:$F$304,$C$5:$C$304,C268&amp;"")=0,0,N(F268)/SUMIFS($F$5:$F$304,$C$5:$C$304,C268&amp;"")*INDEX(Settings!$C$29:$C$31,MATCH(C268,Settings!$A$29:$A$31,0)))))</f>
        <v/>
      </c>
      <c r="K268" s="21">
        <f>IF(C268="","",I268+J268)</f>
        <v/>
      </c>
      <c r="L268" s="14">
        <f>IF(C268="","",IF(H268=0,IF(ISNUMBER(MATCH(C268&amp;" - "&amp;D268,Settings!$D$11:$D$25,0)),"OK","Tier not in Settings"),IF(G268="Unmapped","Team key not in Teams","OK")))</f>
        <v/>
      </c>
    </row>
    <row r="269">
      <c r="A269" s="12" t="n"/>
      <c r="B269" s="12" t="n"/>
      <c r="C269" s="12" t="n"/>
      <c r="D269" s="12" t="n"/>
      <c r="E269" s="18" t="n"/>
      <c r="F269" s="13" t="n"/>
      <c r="G269" s="19">
        <f>IF(C269="","",IF(IFERROR(INDEX(Teams!$C$5:$C$104,MATCH(B269,Teams!$A$5:$A$104,0))&amp;"","")="","Unmapped",INDEX(Teams!$C$5:$C$104,MATCH(B269,Teams!$A$5:$A$104,0))))</f>
        <v/>
      </c>
      <c r="H269" s="20">
        <f>IF(C269="","",IFERROR(INDEX(Settings!$C$11:$C$25,MATCH(C269&amp;" - "&amp;D269,Settings!$D$11:$D$25,0)),0))</f>
        <v/>
      </c>
      <c r="I269" s="21">
        <f>IF(C269="","",H269*IF(E269="",1,E269/Settings!$B$4))</f>
        <v/>
      </c>
      <c r="J269" s="21">
        <f>IF(OR(C269="",C269="Claude Code"),0,IF(IFERROR(INDEX(Settings!$C$29:$C$31,MATCH(C269,Settings!$A$29:$A$31,0)),"")="",N(F269),IF(SUMIFS($F$5:$F$304,$C$5:$C$304,C269&amp;"")=0,0,N(F269)/SUMIFS($F$5:$F$304,$C$5:$C$304,C269&amp;"")*INDEX(Settings!$C$29:$C$31,MATCH(C269,Settings!$A$29:$A$31,0)))))</f>
        <v/>
      </c>
      <c r="K269" s="21">
        <f>IF(C269="","",I269+J269)</f>
        <v/>
      </c>
      <c r="L269" s="14">
        <f>IF(C269="","",IF(H269=0,IF(ISNUMBER(MATCH(C269&amp;" - "&amp;D269,Settings!$D$11:$D$25,0)),"OK","Tier not in Settings"),IF(G269="Unmapped","Team key not in Teams","OK")))</f>
        <v/>
      </c>
    </row>
    <row r="270">
      <c r="A270" s="12" t="n"/>
      <c r="B270" s="12" t="n"/>
      <c r="C270" s="12" t="n"/>
      <c r="D270" s="12" t="n"/>
      <c r="E270" s="18" t="n"/>
      <c r="F270" s="13" t="n"/>
      <c r="G270" s="19">
        <f>IF(C270="","",IF(IFERROR(INDEX(Teams!$C$5:$C$104,MATCH(B270,Teams!$A$5:$A$104,0))&amp;"","")="","Unmapped",INDEX(Teams!$C$5:$C$104,MATCH(B270,Teams!$A$5:$A$104,0))))</f>
        <v/>
      </c>
      <c r="H270" s="20">
        <f>IF(C270="","",IFERROR(INDEX(Settings!$C$11:$C$25,MATCH(C270&amp;" - "&amp;D270,Settings!$D$11:$D$25,0)),0))</f>
        <v/>
      </c>
      <c r="I270" s="21">
        <f>IF(C270="","",H270*IF(E270="",1,E270/Settings!$B$4))</f>
        <v/>
      </c>
      <c r="J270" s="21">
        <f>IF(OR(C270="",C270="Claude Code"),0,IF(IFERROR(INDEX(Settings!$C$29:$C$31,MATCH(C270,Settings!$A$29:$A$31,0)),"")="",N(F270),IF(SUMIFS($F$5:$F$304,$C$5:$C$304,C270&amp;"")=0,0,N(F270)/SUMIFS($F$5:$F$304,$C$5:$C$304,C270&amp;"")*INDEX(Settings!$C$29:$C$31,MATCH(C270,Settings!$A$29:$A$31,0)))))</f>
        <v/>
      </c>
      <c r="K270" s="21">
        <f>IF(C270="","",I270+J270)</f>
        <v/>
      </c>
      <c r="L270" s="14">
        <f>IF(C270="","",IF(H270=0,IF(ISNUMBER(MATCH(C270&amp;" - "&amp;D270,Settings!$D$11:$D$25,0)),"OK","Tier not in Settings"),IF(G270="Unmapped","Team key not in Teams","OK")))</f>
        <v/>
      </c>
    </row>
    <row r="271">
      <c r="A271" s="12" t="n"/>
      <c r="B271" s="12" t="n"/>
      <c r="C271" s="12" t="n"/>
      <c r="D271" s="12" t="n"/>
      <c r="E271" s="18" t="n"/>
      <c r="F271" s="13" t="n"/>
      <c r="G271" s="19">
        <f>IF(C271="","",IF(IFERROR(INDEX(Teams!$C$5:$C$104,MATCH(B271,Teams!$A$5:$A$104,0))&amp;"","")="","Unmapped",INDEX(Teams!$C$5:$C$104,MATCH(B271,Teams!$A$5:$A$104,0))))</f>
        <v/>
      </c>
      <c r="H271" s="20">
        <f>IF(C271="","",IFERROR(INDEX(Settings!$C$11:$C$25,MATCH(C271&amp;" - "&amp;D271,Settings!$D$11:$D$25,0)),0))</f>
        <v/>
      </c>
      <c r="I271" s="21">
        <f>IF(C271="","",H271*IF(E271="",1,E271/Settings!$B$4))</f>
        <v/>
      </c>
      <c r="J271" s="21">
        <f>IF(OR(C271="",C271="Claude Code"),0,IF(IFERROR(INDEX(Settings!$C$29:$C$31,MATCH(C271,Settings!$A$29:$A$31,0)),"")="",N(F271),IF(SUMIFS($F$5:$F$304,$C$5:$C$304,C271&amp;"")=0,0,N(F271)/SUMIFS($F$5:$F$304,$C$5:$C$304,C271&amp;"")*INDEX(Settings!$C$29:$C$31,MATCH(C271,Settings!$A$29:$A$31,0)))))</f>
        <v/>
      </c>
      <c r="K271" s="21">
        <f>IF(C271="","",I271+J271)</f>
        <v/>
      </c>
      <c r="L271" s="14">
        <f>IF(C271="","",IF(H271=0,IF(ISNUMBER(MATCH(C271&amp;" - "&amp;D271,Settings!$D$11:$D$25,0)),"OK","Tier not in Settings"),IF(G271="Unmapped","Team key not in Teams","OK")))</f>
        <v/>
      </c>
    </row>
    <row r="272">
      <c r="A272" s="12" t="n"/>
      <c r="B272" s="12" t="n"/>
      <c r="C272" s="12" t="n"/>
      <c r="D272" s="12" t="n"/>
      <c r="E272" s="18" t="n"/>
      <c r="F272" s="13" t="n"/>
      <c r="G272" s="19">
        <f>IF(C272="","",IF(IFERROR(INDEX(Teams!$C$5:$C$104,MATCH(B272,Teams!$A$5:$A$104,0))&amp;"","")="","Unmapped",INDEX(Teams!$C$5:$C$104,MATCH(B272,Teams!$A$5:$A$104,0))))</f>
        <v/>
      </c>
      <c r="H272" s="20">
        <f>IF(C272="","",IFERROR(INDEX(Settings!$C$11:$C$25,MATCH(C272&amp;" - "&amp;D272,Settings!$D$11:$D$25,0)),0))</f>
        <v/>
      </c>
      <c r="I272" s="21">
        <f>IF(C272="","",H272*IF(E272="",1,E272/Settings!$B$4))</f>
        <v/>
      </c>
      <c r="J272" s="21">
        <f>IF(OR(C272="",C272="Claude Code"),0,IF(IFERROR(INDEX(Settings!$C$29:$C$31,MATCH(C272,Settings!$A$29:$A$31,0)),"")="",N(F272),IF(SUMIFS($F$5:$F$304,$C$5:$C$304,C272&amp;"")=0,0,N(F272)/SUMIFS($F$5:$F$304,$C$5:$C$304,C272&amp;"")*INDEX(Settings!$C$29:$C$31,MATCH(C272,Settings!$A$29:$A$31,0)))))</f>
        <v/>
      </c>
      <c r="K272" s="21">
        <f>IF(C272="","",I272+J272)</f>
        <v/>
      </c>
      <c r="L272" s="14">
        <f>IF(C272="","",IF(H272=0,IF(ISNUMBER(MATCH(C272&amp;" - "&amp;D272,Settings!$D$11:$D$25,0)),"OK","Tier not in Settings"),IF(G272="Unmapped","Team key not in Teams","OK")))</f>
        <v/>
      </c>
    </row>
    <row r="273">
      <c r="A273" s="12" t="n"/>
      <c r="B273" s="12" t="n"/>
      <c r="C273" s="12" t="n"/>
      <c r="D273" s="12" t="n"/>
      <c r="E273" s="18" t="n"/>
      <c r="F273" s="13" t="n"/>
      <c r="G273" s="19">
        <f>IF(C273="","",IF(IFERROR(INDEX(Teams!$C$5:$C$104,MATCH(B273,Teams!$A$5:$A$104,0))&amp;"","")="","Unmapped",INDEX(Teams!$C$5:$C$104,MATCH(B273,Teams!$A$5:$A$104,0))))</f>
        <v/>
      </c>
      <c r="H273" s="20">
        <f>IF(C273="","",IFERROR(INDEX(Settings!$C$11:$C$25,MATCH(C273&amp;" - "&amp;D273,Settings!$D$11:$D$25,0)),0))</f>
        <v/>
      </c>
      <c r="I273" s="21">
        <f>IF(C273="","",H273*IF(E273="",1,E273/Settings!$B$4))</f>
        <v/>
      </c>
      <c r="J273" s="21">
        <f>IF(OR(C273="",C273="Claude Code"),0,IF(IFERROR(INDEX(Settings!$C$29:$C$31,MATCH(C273,Settings!$A$29:$A$31,0)),"")="",N(F273),IF(SUMIFS($F$5:$F$304,$C$5:$C$304,C273&amp;"")=0,0,N(F273)/SUMIFS($F$5:$F$304,$C$5:$C$304,C273&amp;"")*INDEX(Settings!$C$29:$C$31,MATCH(C273,Settings!$A$29:$A$31,0)))))</f>
        <v/>
      </c>
      <c r="K273" s="21">
        <f>IF(C273="","",I273+J273)</f>
        <v/>
      </c>
      <c r="L273" s="14">
        <f>IF(C273="","",IF(H273=0,IF(ISNUMBER(MATCH(C273&amp;" - "&amp;D273,Settings!$D$11:$D$25,0)),"OK","Tier not in Settings"),IF(G273="Unmapped","Team key not in Teams","OK")))</f>
        <v/>
      </c>
    </row>
    <row r="274">
      <c r="A274" s="12" t="n"/>
      <c r="B274" s="12" t="n"/>
      <c r="C274" s="12" t="n"/>
      <c r="D274" s="12" t="n"/>
      <c r="E274" s="18" t="n"/>
      <c r="F274" s="13" t="n"/>
      <c r="G274" s="19">
        <f>IF(C274="","",IF(IFERROR(INDEX(Teams!$C$5:$C$104,MATCH(B274,Teams!$A$5:$A$104,0))&amp;"","")="","Unmapped",INDEX(Teams!$C$5:$C$104,MATCH(B274,Teams!$A$5:$A$104,0))))</f>
        <v/>
      </c>
      <c r="H274" s="20">
        <f>IF(C274="","",IFERROR(INDEX(Settings!$C$11:$C$25,MATCH(C274&amp;" - "&amp;D274,Settings!$D$11:$D$25,0)),0))</f>
        <v/>
      </c>
      <c r="I274" s="21">
        <f>IF(C274="","",H274*IF(E274="",1,E274/Settings!$B$4))</f>
        <v/>
      </c>
      <c r="J274" s="21">
        <f>IF(OR(C274="",C274="Claude Code"),0,IF(IFERROR(INDEX(Settings!$C$29:$C$31,MATCH(C274,Settings!$A$29:$A$31,0)),"")="",N(F274),IF(SUMIFS($F$5:$F$304,$C$5:$C$304,C274&amp;"")=0,0,N(F274)/SUMIFS($F$5:$F$304,$C$5:$C$304,C274&amp;"")*INDEX(Settings!$C$29:$C$31,MATCH(C274,Settings!$A$29:$A$31,0)))))</f>
        <v/>
      </c>
      <c r="K274" s="21">
        <f>IF(C274="","",I274+J274)</f>
        <v/>
      </c>
      <c r="L274" s="14">
        <f>IF(C274="","",IF(H274=0,IF(ISNUMBER(MATCH(C274&amp;" - "&amp;D274,Settings!$D$11:$D$25,0)),"OK","Tier not in Settings"),IF(G274="Unmapped","Team key not in Teams","OK")))</f>
        <v/>
      </c>
    </row>
    <row r="275">
      <c r="A275" s="12" t="n"/>
      <c r="B275" s="12" t="n"/>
      <c r="C275" s="12" t="n"/>
      <c r="D275" s="12" t="n"/>
      <c r="E275" s="18" t="n"/>
      <c r="F275" s="13" t="n"/>
      <c r="G275" s="19">
        <f>IF(C275="","",IF(IFERROR(INDEX(Teams!$C$5:$C$104,MATCH(B275,Teams!$A$5:$A$104,0))&amp;"","")="","Unmapped",INDEX(Teams!$C$5:$C$104,MATCH(B275,Teams!$A$5:$A$104,0))))</f>
        <v/>
      </c>
      <c r="H275" s="20">
        <f>IF(C275="","",IFERROR(INDEX(Settings!$C$11:$C$25,MATCH(C275&amp;" - "&amp;D275,Settings!$D$11:$D$25,0)),0))</f>
        <v/>
      </c>
      <c r="I275" s="21">
        <f>IF(C275="","",H275*IF(E275="",1,E275/Settings!$B$4))</f>
        <v/>
      </c>
      <c r="J275" s="21">
        <f>IF(OR(C275="",C275="Claude Code"),0,IF(IFERROR(INDEX(Settings!$C$29:$C$31,MATCH(C275,Settings!$A$29:$A$31,0)),"")="",N(F275),IF(SUMIFS($F$5:$F$304,$C$5:$C$304,C275&amp;"")=0,0,N(F275)/SUMIFS($F$5:$F$304,$C$5:$C$304,C275&amp;"")*INDEX(Settings!$C$29:$C$31,MATCH(C275,Settings!$A$29:$A$31,0)))))</f>
        <v/>
      </c>
      <c r="K275" s="21">
        <f>IF(C275="","",I275+J275)</f>
        <v/>
      </c>
      <c r="L275" s="14">
        <f>IF(C275="","",IF(H275=0,IF(ISNUMBER(MATCH(C275&amp;" - "&amp;D275,Settings!$D$11:$D$25,0)),"OK","Tier not in Settings"),IF(G275="Unmapped","Team key not in Teams","OK")))</f>
        <v/>
      </c>
    </row>
    <row r="276">
      <c r="A276" s="12" t="n"/>
      <c r="B276" s="12" t="n"/>
      <c r="C276" s="12" t="n"/>
      <c r="D276" s="12" t="n"/>
      <c r="E276" s="18" t="n"/>
      <c r="F276" s="13" t="n"/>
      <c r="G276" s="19">
        <f>IF(C276="","",IF(IFERROR(INDEX(Teams!$C$5:$C$104,MATCH(B276,Teams!$A$5:$A$104,0))&amp;"","")="","Unmapped",INDEX(Teams!$C$5:$C$104,MATCH(B276,Teams!$A$5:$A$104,0))))</f>
        <v/>
      </c>
      <c r="H276" s="20">
        <f>IF(C276="","",IFERROR(INDEX(Settings!$C$11:$C$25,MATCH(C276&amp;" - "&amp;D276,Settings!$D$11:$D$25,0)),0))</f>
        <v/>
      </c>
      <c r="I276" s="21">
        <f>IF(C276="","",H276*IF(E276="",1,E276/Settings!$B$4))</f>
        <v/>
      </c>
      <c r="J276" s="21">
        <f>IF(OR(C276="",C276="Claude Code"),0,IF(IFERROR(INDEX(Settings!$C$29:$C$31,MATCH(C276,Settings!$A$29:$A$31,0)),"")="",N(F276),IF(SUMIFS($F$5:$F$304,$C$5:$C$304,C276&amp;"")=0,0,N(F276)/SUMIFS($F$5:$F$304,$C$5:$C$304,C276&amp;"")*INDEX(Settings!$C$29:$C$31,MATCH(C276,Settings!$A$29:$A$31,0)))))</f>
        <v/>
      </c>
      <c r="K276" s="21">
        <f>IF(C276="","",I276+J276)</f>
        <v/>
      </c>
      <c r="L276" s="14">
        <f>IF(C276="","",IF(H276=0,IF(ISNUMBER(MATCH(C276&amp;" - "&amp;D276,Settings!$D$11:$D$25,0)),"OK","Tier not in Settings"),IF(G276="Unmapped","Team key not in Teams","OK")))</f>
        <v/>
      </c>
    </row>
    <row r="277">
      <c r="A277" s="12" t="n"/>
      <c r="B277" s="12" t="n"/>
      <c r="C277" s="12" t="n"/>
      <c r="D277" s="12" t="n"/>
      <c r="E277" s="18" t="n"/>
      <c r="F277" s="13" t="n"/>
      <c r="G277" s="19">
        <f>IF(C277="","",IF(IFERROR(INDEX(Teams!$C$5:$C$104,MATCH(B277,Teams!$A$5:$A$104,0))&amp;"","")="","Unmapped",INDEX(Teams!$C$5:$C$104,MATCH(B277,Teams!$A$5:$A$104,0))))</f>
        <v/>
      </c>
      <c r="H277" s="20">
        <f>IF(C277="","",IFERROR(INDEX(Settings!$C$11:$C$25,MATCH(C277&amp;" - "&amp;D277,Settings!$D$11:$D$25,0)),0))</f>
        <v/>
      </c>
      <c r="I277" s="21">
        <f>IF(C277="","",H277*IF(E277="",1,E277/Settings!$B$4))</f>
        <v/>
      </c>
      <c r="J277" s="21">
        <f>IF(OR(C277="",C277="Claude Code"),0,IF(IFERROR(INDEX(Settings!$C$29:$C$31,MATCH(C277,Settings!$A$29:$A$31,0)),"")="",N(F277),IF(SUMIFS($F$5:$F$304,$C$5:$C$304,C277&amp;"")=0,0,N(F277)/SUMIFS($F$5:$F$304,$C$5:$C$304,C277&amp;"")*INDEX(Settings!$C$29:$C$31,MATCH(C277,Settings!$A$29:$A$31,0)))))</f>
        <v/>
      </c>
      <c r="K277" s="21">
        <f>IF(C277="","",I277+J277)</f>
        <v/>
      </c>
      <c r="L277" s="14">
        <f>IF(C277="","",IF(H277=0,IF(ISNUMBER(MATCH(C277&amp;" - "&amp;D277,Settings!$D$11:$D$25,0)),"OK","Tier not in Settings"),IF(G277="Unmapped","Team key not in Teams","OK")))</f>
        <v/>
      </c>
    </row>
    <row r="278">
      <c r="A278" s="12" t="n"/>
      <c r="B278" s="12" t="n"/>
      <c r="C278" s="12" t="n"/>
      <c r="D278" s="12" t="n"/>
      <c r="E278" s="18" t="n"/>
      <c r="F278" s="13" t="n"/>
      <c r="G278" s="19">
        <f>IF(C278="","",IF(IFERROR(INDEX(Teams!$C$5:$C$104,MATCH(B278,Teams!$A$5:$A$104,0))&amp;"","")="","Unmapped",INDEX(Teams!$C$5:$C$104,MATCH(B278,Teams!$A$5:$A$104,0))))</f>
        <v/>
      </c>
      <c r="H278" s="20">
        <f>IF(C278="","",IFERROR(INDEX(Settings!$C$11:$C$25,MATCH(C278&amp;" - "&amp;D278,Settings!$D$11:$D$25,0)),0))</f>
        <v/>
      </c>
      <c r="I278" s="21">
        <f>IF(C278="","",H278*IF(E278="",1,E278/Settings!$B$4))</f>
        <v/>
      </c>
      <c r="J278" s="21">
        <f>IF(OR(C278="",C278="Claude Code"),0,IF(IFERROR(INDEX(Settings!$C$29:$C$31,MATCH(C278,Settings!$A$29:$A$31,0)),"")="",N(F278),IF(SUMIFS($F$5:$F$304,$C$5:$C$304,C278&amp;"")=0,0,N(F278)/SUMIFS($F$5:$F$304,$C$5:$C$304,C278&amp;"")*INDEX(Settings!$C$29:$C$31,MATCH(C278,Settings!$A$29:$A$31,0)))))</f>
        <v/>
      </c>
      <c r="K278" s="21">
        <f>IF(C278="","",I278+J278)</f>
        <v/>
      </c>
      <c r="L278" s="14">
        <f>IF(C278="","",IF(H278=0,IF(ISNUMBER(MATCH(C278&amp;" - "&amp;D278,Settings!$D$11:$D$25,0)),"OK","Tier not in Settings"),IF(G278="Unmapped","Team key not in Teams","OK")))</f>
        <v/>
      </c>
    </row>
    <row r="279">
      <c r="A279" s="12" t="n"/>
      <c r="B279" s="12" t="n"/>
      <c r="C279" s="12" t="n"/>
      <c r="D279" s="12" t="n"/>
      <c r="E279" s="18" t="n"/>
      <c r="F279" s="13" t="n"/>
      <c r="G279" s="19">
        <f>IF(C279="","",IF(IFERROR(INDEX(Teams!$C$5:$C$104,MATCH(B279,Teams!$A$5:$A$104,0))&amp;"","")="","Unmapped",INDEX(Teams!$C$5:$C$104,MATCH(B279,Teams!$A$5:$A$104,0))))</f>
        <v/>
      </c>
      <c r="H279" s="20">
        <f>IF(C279="","",IFERROR(INDEX(Settings!$C$11:$C$25,MATCH(C279&amp;" - "&amp;D279,Settings!$D$11:$D$25,0)),0))</f>
        <v/>
      </c>
      <c r="I279" s="21">
        <f>IF(C279="","",H279*IF(E279="",1,E279/Settings!$B$4))</f>
        <v/>
      </c>
      <c r="J279" s="21">
        <f>IF(OR(C279="",C279="Claude Code"),0,IF(IFERROR(INDEX(Settings!$C$29:$C$31,MATCH(C279,Settings!$A$29:$A$31,0)),"")="",N(F279),IF(SUMIFS($F$5:$F$304,$C$5:$C$304,C279&amp;"")=0,0,N(F279)/SUMIFS($F$5:$F$304,$C$5:$C$304,C279&amp;"")*INDEX(Settings!$C$29:$C$31,MATCH(C279,Settings!$A$29:$A$31,0)))))</f>
        <v/>
      </c>
      <c r="K279" s="21">
        <f>IF(C279="","",I279+J279)</f>
        <v/>
      </c>
      <c r="L279" s="14">
        <f>IF(C279="","",IF(H279=0,IF(ISNUMBER(MATCH(C279&amp;" - "&amp;D279,Settings!$D$11:$D$25,0)),"OK","Tier not in Settings"),IF(G279="Unmapped","Team key not in Teams","OK")))</f>
        <v/>
      </c>
    </row>
    <row r="280">
      <c r="A280" s="12" t="n"/>
      <c r="B280" s="12" t="n"/>
      <c r="C280" s="12" t="n"/>
      <c r="D280" s="12" t="n"/>
      <c r="E280" s="18" t="n"/>
      <c r="F280" s="13" t="n"/>
      <c r="G280" s="19">
        <f>IF(C280="","",IF(IFERROR(INDEX(Teams!$C$5:$C$104,MATCH(B280,Teams!$A$5:$A$104,0))&amp;"","")="","Unmapped",INDEX(Teams!$C$5:$C$104,MATCH(B280,Teams!$A$5:$A$104,0))))</f>
        <v/>
      </c>
      <c r="H280" s="20">
        <f>IF(C280="","",IFERROR(INDEX(Settings!$C$11:$C$25,MATCH(C280&amp;" - "&amp;D280,Settings!$D$11:$D$25,0)),0))</f>
        <v/>
      </c>
      <c r="I280" s="21">
        <f>IF(C280="","",H280*IF(E280="",1,E280/Settings!$B$4))</f>
        <v/>
      </c>
      <c r="J280" s="21">
        <f>IF(OR(C280="",C280="Claude Code"),0,IF(IFERROR(INDEX(Settings!$C$29:$C$31,MATCH(C280,Settings!$A$29:$A$31,0)),"")="",N(F280),IF(SUMIFS($F$5:$F$304,$C$5:$C$304,C280&amp;"")=0,0,N(F280)/SUMIFS($F$5:$F$304,$C$5:$C$304,C280&amp;"")*INDEX(Settings!$C$29:$C$31,MATCH(C280,Settings!$A$29:$A$31,0)))))</f>
        <v/>
      </c>
      <c r="K280" s="21">
        <f>IF(C280="","",I280+J280)</f>
        <v/>
      </c>
      <c r="L280" s="14">
        <f>IF(C280="","",IF(H280=0,IF(ISNUMBER(MATCH(C280&amp;" - "&amp;D280,Settings!$D$11:$D$25,0)),"OK","Tier not in Settings"),IF(G280="Unmapped","Team key not in Teams","OK")))</f>
        <v/>
      </c>
    </row>
    <row r="281">
      <c r="A281" s="12" t="n"/>
      <c r="B281" s="12" t="n"/>
      <c r="C281" s="12" t="n"/>
      <c r="D281" s="12" t="n"/>
      <c r="E281" s="18" t="n"/>
      <c r="F281" s="13" t="n"/>
      <c r="G281" s="19">
        <f>IF(C281="","",IF(IFERROR(INDEX(Teams!$C$5:$C$104,MATCH(B281,Teams!$A$5:$A$104,0))&amp;"","")="","Unmapped",INDEX(Teams!$C$5:$C$104,MATCH(B281,Teams!$A$5:$A$104,0))))</f>
        <v/>
      </c>
      <c r="H281" s="20">
        <f>IF(C281="","",IFERROR(INDEX(Settings!$C$11:$C$25,MATCH(C281&amp;" - "&amp;D281,Settings!$D$11:$D$25,0)),0))</f>
        <v/>
      </c>
      <c r="I281" s="21">
        <f>IF(C281="","",H281*IF(E281="",1,E281/Settings!$B$4))</f>
        <v/>
      </c>
      <c r="J281" s="21">
        <f>IF(OR(C281="",C281="Claude Code"),0,IF(IFERROR(INDEX(Settings!$C$29:$C$31,MATCH(C281,Settings!$A$29:$A$31,0)),"")="",N(F281),IF(SUMIFS($F$5:$F$304,$C$5:$C$304,C281&amp;"")=0,0,N(F281)/SUMIFS($F$5:$F$304,$C$5:$C$304,C281&amp;"")*INDEX(Settings!$C$29:$C$31,MATCH(C281,Settings!$A$29:$A$31,0)))))</f>
        <v/>
      </c>
      <c r="K281" s="21">
        <f>IF(C281="","",I281+J281)</f>
        <v/>
      </c>
      <c r="L281" s="14">
        <f>IF(C281="","",IF(H281=0,IF(ISNUMBER(MATCH(C281&amp;" - "&amp;D281,Settings!$D$11:$D$25,0)),"OK","Tier not in Settings"),IF(G281="Unmapped","Team key not in Teams","OK")))</f>
        <v/>
      </c>
    </row>
    <row r="282">
      <c r="A282" s="12" t="n"/>
      <c r="B282" s="12" t="n"/>
      <c r="C282" s="12" t="n"/>
      <c r="D282" s="12" t="n"/>
      <c r="E282" s="18" t="n"/>
      <c r="F282" s="13" t="n"/>
      <c r="G282" s="19">
        <f>IF(C282="","",IF(IFERROR(INDEX(Teams!$C$5:$C$104,MATCH(B282,Teams!$A$5:$A$104,0))&amp;"","")="","Unmapped",INDEX(Teams!$C$5:$C$104,MATCH(B282,Teams!$A$5:$A$104,0))))</f>
        <v/>
      </c>
      <c r="H282" s="20">
        <f>IF(C282="","",IFERROR(INDEX(Settings!$C$11:$C$25,MATCH(C282&amp;" - "&amp;D282,Settings!$D$11:$D$25,0)),0))</f>
        <v/>
      </c>
      <c r="I282" s="21">
        <f>IF(C282="","",H282*IF(E282="",1,E282/Settings!$B$4))</f>
        <v/>
      </c>
      <c r="J282" s="21">
        <f>IF(OR(C282="",C282="Claude Code"),0,IF(IFERROR(INDEX(Settings!$C$29:$C$31,MATCH(C282,Settings!$A$29:$A$31,0)),"")="",N(F282),IF(SUMIFS($F$5:$F$304,$C$5:$C$304,C282&amp;"")=0,0,N(F282)/SUMIFS($F$5:$F$304,$C$5:$C$304,C282&amp;"")*INDEX(Settings!$C$29:$C$31,MATCH(C282,Settings!$A$29:$A$31,0)))))</f>
        <v/>
      </c>
      <c r="K282" s="21">
        <f>IF(C282="","",I282+J282)</f>
        <v/>
      </c>
      <c r="L282" s="14">
        <f>IF(C282="","",IF(H282=0,IF(ISNUMBER(MATCH(C282&amp;" - "&amp;D282,Settings!$D$11:$D$25,0)),"OK","Tier not in Settings"),IF(G282="Unmapped","Team key not in Teams","OK")))</f>
        <v/>
      </c>
    </row>
    <row r="283">
      <c r="A283" s="12" t="n"/>
      <c r="B283" s="12" t="n"/>
      <c r="C283" s="12" t="n"/>
      <c r="D283" s="12" t="n"/>
      <c r="E283" s="18" t="n"/>
      <c r="F283" s="13" t="n"/>
      <c r="G283" s="19">
        <f>IF(C283="","",IF(IFERROR(INDEX(Teams!$C$5:$C$104,MATCH(B283,Teams!$A$5:$A$104,0))&amp;"","")="","Unmapped",INDEX(Teams!$C$5:$C$104,MATCH(B283,Teams!$A$5:$A$104,0))))</f>
        <v/>
      </c>
      <c r="H283" s="20">
        <f>IF(C283="","",IFERROR(INDEX(Settings!$C$11:$C$25,MATCH(C283&amp;" - "&amp;D283,Settings!$D$11:$D$25,0)),0))</f>
        <v/>
      </c>
      <c r="I283" s="21">
        <f>IF(C283="","",H283*IF(E283="",1,E283/Settings!$B$4))</f>
        <v/>
      </c>
      <c r="J283" s="21">
        <f>IF(OR(C283="",C283="Claude Code"),0,IF(IFERROR(INDEX(Settings!$C$29:$C$31,MATCH(C283,Settings!$A$29:$A$31,0)),"")="",N(F283),IF(SUMIFS($F$5:$F$304,$C$5:$C$304,C283&amp;"")=0,0,N(F283)/SUMIFS($F$5:$F$304,$C$5:$C$304,C283&amp;"")*INDEX(Settings!$C$29:$C$31,MATCH(C283,Settings!$A$29:$A$31,0)))))</f>
        <v/>
      </c>
      <c r="K283" s="21">
        <f>IF(C283="","",I283+J283)</f>
        <v/>
      </c>
      <c r="L283" s="14">
        <f>IF(C283="","",IF(H283=0,IF(ISNUMBER(MATCH(C283&amp;" - "&amp;D283,Settings!$D$11:$D$25,0)),"OK","Tier not in Settings"),IF(G283="Unmapped","Team key not in Teams","OK")))</f>
        <v/>
      </c>
    </row>
    <row r="284">
      <c r="A284" s="12" t="n"/>
      <c r="B284" s="12" t="n"/>
      <c r="C284" s="12" t="n"/>
      <c r="D284" s="12" t="n"/>
      <c r="E284" s="18" t="n"/>
      <c r="F284" s="13" t="n"/>
      <c r="G284" s="19">
        <f>IF(C284="","",IF(IFERROR(INDEX(Teams!$C$5:$C$104,MATCH(B284,Teams!$A$5:$A$104,0))&amp;"","")="","Unmapped",INDEX(Teams!$C$5:$C$104,MATCH(B284,Teams!$A$5:$A$104,0))))</f>
        <v/>
      </c>
      <c r="H284" s="20">
        <f>IF(C284="","",IFERROR(INDEX(Settings!$C$11:$C$25,MATCH(C284&amp;" - "&amp;D284,Settings!$D$11:$D$25,0)),0))</f>
        <v/>
      </c>
      <c r="I284" s="21">
        <f>IF(C284="","",H284*IF(E284="",1,E284/Settings!$B$4))</f>
        <v/>
      </c>
      <c r="J284" s="21">
        <f>IF(OR(C284="",C284="Claude Code"),0,IF(IFERROR(INDEX(Settings!$C$29:$C$31,MATCH(C284,Settings!$A$29:$A$31,0)),"")="",N(F284),IF(SUMIFS($F$5:$F$304,$C$5:$C$304,C284&amp;"")=0,0,N(F284)/SUMIFS($F$5:$F$304,$C$5:$C$304,C284&amp;"")*INDEX(Settings!$C$29:$C$31,MATCH(C284,Settings!$A$29:$A$31,0)))))</f>
        <v/>
      </c>
      <c r="K284" s="21">
        <f>IF(C284="","",I284+J284)</f>
        <v/>
      </c>
      <c r="L284" s="14">
        <f>IF(C284="","",IF(H284=0,IF(ISNUMBER(MATCH(C284&amp;" - "&amp;D284,Settings!$D$11:$D$25,0)),"OK","Tier not in Settings"),IF(G284="Unmapped","Team key not in Teams","OK")))</f>
        <v/>
      </c>
    </row>
    <row r="285">
      <c r="A285" s="12" t="n"/>
      <c r="B285" s="12" t="n"/>
      <c r="C285" s="12" t="n"/>
      <c r="D285" s="12" t="n"/>
      <c r="E285" s="18" t="n"/>
      <c r="F285" s="13" t="n"/>
      <c r="G285" s="19">
        <f>IF(C285="","",IF(IFERROR(INDEX(Teams!$C$5:$C$104,MATCH(B285,Teams!$A$5:$A$104,0))&amp;"","")="","Unmapped",INDEX(Teams!$C$5:$C$104,MATCH(B285,Teams!$A$5:$A$104,0))))</f>
        <v/>
      </c>
      <c r="H285" s="20">
        <f>IF(C285="","",IFERROR(INDEX(Settings!$C$11:$C$25,MATCH(C285&amp;" - "&amp;D285,Settings!$D$11:$D$25,0)),0))</f>
        <v/>
      </c>
      <c r="I285" s="21">
        <f>IF(C285="","",H285*IF(E285="",1,E285/Settings!$B$4))</f>
        <v/>
      </c>
      <c r="J285" s="21">
        <f>IF(OR(C285="",C285="Claude Code"),0,IF(IFERROR(INDEX(Settings!$C$29:$C$31,MATCH(C285,Settings!$A$29:$A$31,0)),"")="",N(F285),IF(SUMIFS($F$5:$F$304,$C$5:$C$304,C285&amp;"")=0,0,N(F285)/SUMIFS($F$5:$F$304,$C$5:$C$304,C285&amp;"")*INDEX(Settings!$C$29:$C$31,MATCH(C285,Settings!$A$29:$A$31,0)))))</f>
        <v/>
      </c>
      <c r="K285" s="21">
        <f>IF(C285="","",I285+J285)</f>
        <v/>
      </c>
      <c r="L285" s="14">
        <f>IF(C285="","",IF(H285=0,IF(ISNUMBER(MATCH(C285&amp;" - "&amp;D285,Settings!$D$11:$D$25,0)),"OK","Tier not in Settings"),IF(G285="Unmapped","Team key not in Teams","OK")))</f>
        <v/>
      </c>
    </row>
    <row r="286">
      <c r="A286" s="12" t="n"/>
      <c r="B286" s="12" t="n"/>
      <c r="C286" s="12" t="n"/>
      <c r="D286" s="12" t="n"/>
      <c r="E286" s="18" t="n"/>
      <c r="F286" s="13" t="n"/>
      <c r="G286" s="19">
        <f>IF(C286="","",IF(IFERROR(INDEX(Teams!$C$5:$C$104,MATCH(B286,Teams!$A$5:$A$104,0))&amp;"","")="","Unmapped",INDEX(Teams!$C$5:$C$104,MATCH(B286,Teams!$A$5:$A$104,0))))</f>
        <v/>
      </c>
      <c r="H286" s="20">
        <f>IF(C286="","",IFERROR(INDEX(Settings!$C$11:$C$25,MATCH(C286&amp;" - "&amp;D286,Settings!$D$11:$D$25,0)),0))</f>
        <v/>
      </c>
      <c r="I286" s="21">
        <f>IF(C286="","",H286*IF(E286="",1,E286/Settings!$B$4))</f>
        <v/>
      </c>
      <c r="J286" s="21">
        <f>IF(OR(C286="",C286="Claude Code"),0,IF(IFERROR(INDEX(Settings!$C$29:$C$31,MATCH(C286,Settings!$A$29:$A$31,0)),"")="",N(F286),IF(SUMIFS($F$5:$F$304,$C$5:$C$304,C286&amp;"")=0,0,N(F286)/SUMIFS($F$5:$F$304,$C$5:$C$304,C286&amp;"")*INDEX(Settings!$C$29:$C$31,MATCH(C286,Settings!$A$29:$A$31,0)))))</f>
        <v/>
      </c>
      <c r="K286" s="21">
        <f>IF(C286="","",I286+J286)</f>
        <v/>
      </c>
      <c r="L286" s="14">
        <f>IF(C286="","",IF(H286=0,IF(ISNUMBER(MATCH(C286&amp;" - "&amp;D286,Settings!$D$11:$D$25,0)),"OK","Tier not in Settings"),IF(G286="Unmapped","Team key not in Teams","OK")))</f>
        <v/>
      </c>
    </row>
    <row r="287">
      <c r="A287" s="12" t="n"/>
      <c r="B287" s="12" t="n"/>
      <c r="C287" s="12" t="n"/>
      <c r="D287" s="12" t="n"/>
      <c r="E287" s="18" t="n"/>
      <c r="F287" s="13" t="n"/>
      <c r="G287" s="19">
        <f>IF(C287="","",IF(IFERROR(INDEX(Teams!$C$5:$C$104,MATCH(B287,Teams!$A$5:$A$104,0))&amp;"","")="","Unmapped",INDEX(Teams!$C$5:$C$104,MATCH(B287,Teams!$A$5:$A$104,0))))</f>
        <v/>
      </c>
      <c r="H287" s="20">
        <f>IF(C287="","",IFERROR(INDEX(Settings!$C$11:$C$25,MATCH(C287&amp;" - "&amp;D287,Settings!$D$11:$D$25,0)),0))</f>
        <v/>
      </c>
      <c r="I287" s="21">
        <f>IF(C287="","",H287*IF(E287="",1,E287/Settings!$B$4))</f>
        <v/>
      </c>
      <c r="J287" s="21">
        <f>IF(OR(C287="",C287="Claude Code"),0,IF(IFERROR(INDEX(Settings!$C$29:$C$31,MATCH(C287,Settings!$A$29:$A$31,0)),"")="",N(F287),IF(SUMIFS($F$5:$F$304,$C$5:$C$304,C287&amp;"")=0,0,N(F287)/SUMIFS($F$5:$F$304,$C$5:$C$304,C287&amp;"")*INDEX(Settings!$C$29:$C$31,MATCH(C287,Settings!$A$29:$A$31,0)))))</f>
        <v/>
      </c>
      <c r="K287" s="21">
        <f>IF(C287="","",I287+J287)</f>
        <v/>
      </c>
      <c r="L287" s="14">
        <f>IF(C287="","",IF(H287=0,IF(ISNUMBER(MATCH(C287&amp;" - "&amp;D287,Settings!$D$11:$D$25,0)),"OK","Tier not in Settings"),IF(G287="Unmapped","Team key not in Teams","OK")))</f>
        <v/>
      </c>
    </row>
    <row r="288">
      <c r="A288" s="12" t="n"/>
      <c r="B288" s="12" t="n"/>
      <c r="C288" s="12" t="n"/>
      <c r="D288" s="12" t="n"/>
      <c r="E288" s="18" t="n"/>
      <c r="F288" s="13" t="n"/>
      <c r="G288" s="19">
        <f>IF(C288="","",IF(IFERROR(INDEX(Teams!$C$5:$C$104,MATCH(B288,Teams!$A$5:$A$104,0))&amp;"","")="","Unmapped",INDEX(Teams!$C$5:$C$104,MATCH(B288,Teams!$A$5:$A$104,0))))</f>
        <v/>
      </c>
      <c r="H288" s="20">
        <f>IF(C288="","",IFERROR(INDEX(Settings!$C$11:$C$25,MATCH(C288&amp;" - "&amp;D288,Settings!$D$11:$D$25,0)),0))</f>
        <v/>
      </c>
      <c r="I288" s="21">
        <f>IF(C288="","",H288*IF(E288="",1,E288/Settings!$B$4))</f>
        <v/>
      </c>
      <c r="J288" s="21">
        <f>IF(OR(C288="",C288="Claude Code"),0,IF(IFERROR(INDEX(Settings!$C$29:$C$31,MATCH(C288,Settings!$A$29:$A$31,0)),"")="",N(F288),IF(SUMIFS($F$5:$F$304,$C$5:$C$304,C288&amp;"")=0,0,N(F288)/SUMIFS($F$5:$F$304,$C$5:$C$304,C288&amp;"")*INDEX(Settings!$C$29:$C$31,MATCH(C288,Settings!$A$29:$A$31,0)))))</f>
        <v/>
      </c>
      <c r="K288" s="21">
        <f>IF(C288="","",I288+J288)</f>
        <v/>
      </c>
      <c r="L288" s="14">
        <f>IF(C288="","",IF(H288=0,IF(ISNUMBER(MATCH(C288&amp;" - "&amp;D288,Settings!$D$11:$D$25,0)),"OK","Tier not in Settings"),IF(G288="Unmapped","Team key not in Teams","OK")))</f>
        <v/>
      </c>
    </row>
    <row r="289">
      <c r="A289" s="12" t="n"/>
      <c r="B289" s="12" t="n"/>
      <c r="C289" s="12" t="n"/>
      <c r="D289" s="12" t="n"/>
      <c r="E289" s="18" t="n"/>
      <c r="F289" s="13" t="n"/>
      <c r="G289" s="19">
        <f>IF(C289="","",IF(IFERROR(INDEX(Teams!$C$5:$C$104,MATCH(B289,Teams!$A$5:$A$104,0))&amp;"","")="","Unmapped",INDEX(Teams!$C$5:$C$104,MATCH(B289,Teams!$A$5:$A$104,0))))</f>
        <v/>
      </c>
      <c r="H289" s="20">
        <f>IF(C289="","",IFERROR(INDEX(Settings!$C$11:$C$25,MATCH(C289&amp;" - "&amp;D289,Settings!$D$11:$D$25,0)),0))</f>
        <v/>
      </c>
      <c r="I289" s="21">
        <f>IF(C289="","",H289*IF(E289="",1,E289/Settings!$B$4))</f>
        <v/>
      </c>
      <c r="J289" s="21">
        <f>IF(OR(C289="",C289="Claude Code"),0,IF(IFERROR(INDEX(Settings!$C$29:$C$31,MATCH(C289,Settings!$A$29:$A$31,0)),"")="",N(F289),IF(SUMIFS($F$5:$F$304,$C$5:$C$304,C289&amp;"")=0,0,N(F289)/SUMIFS($F$5:$F$304,$C$5:$C$304,C289&amp;"")*INDEX(Settings!$C$29:$C$31,MATCH(C289,Settings!$A$29:$A$31,0)))))</f>
        <v/>
      </c>
      <c r="K289" s="21">
        <f>IF(C289="","",I289+J289)</f>
        <v/>
      </c>
      <c r="L289" s="14">
        <f>IF(C289="","",IF(H289=0,IF(ISNUMBER(MATCH(C289&amp;" - "&amp;D289,Settings!$D$11:$D$25,0)),"OK","Tier not in Settings"),IF(G289="Unmapped","Team key not in Teams","OK")))</f>
        <v/>
      </c>
    </row>
    <row r="290">
      <c r="A290" s="12" t="n"/>
      <c r="B290" s="12" t="n"/>
      <c r="C290" s="12" t="n"/>
      <c r="D290" s="12" t="n"/>
      <c r="E290" s="18" t="n"/>
      <c r="F290" s="13" t="n"/>
      <c r="G290" s="19">
        <f>IF(C290="","",IF(IFERROR(INDEX(Teams!$C$5:$C$104,MATCH(B290,Teams!$A$5:$A$104,0))&amp;"","")="","Unmapped",INDEX(Teams!$C$5:$C$104,MATCH(B290,Teams!$A$5:$A$104,0))))</f>
        <v/>
      </c>
      <c r="H290" s="20">
        <f>IF(C290="","",IFERROR(INDEX(Settings!$C$11:$C$25,MATCH(C290&amp;" - "&amp;D290,Settings!$D$11:$D$25,0)),0))</f>
        <v/>
      </c>
      <c r="I290" s="21">
        <f>IF(C290="","",H290*IF(E290="",1,E290/Settings!$B$4))</f>
        <v/>
      </c>
      <c r="J290" s="21">
        <f>IF(OR(C290="",C290="Claude Code"),0,IF(IFERROR(INDEX(Settings!$C$29:$C$31,MATCH(C290,Settings!$A$29:$A$31,0)),"")="",N(F290),IF(SUMIFS($F$5:$F$304,$C$5:$C$304,C290&amp;"")=0,0,N(F290)/SUMIFS($F$5:$F$304,$C$5:$C$304,C290&amp;"")*INDEX(Settings!$C$29:$C$31,MATCH(C290,Settings!$A$29:$A$31,0)))))</f>
        <v/>
      </c>
      <c r="K290" s="21">
        <f>IF(C290="","",I290+J290)</f>
        <v/>
      </c>
      <c r="L290" s="14">
        <f>IF(C290="","",IF(H290=0,IF(ISNUMBER(MATCH(C290&amp;" - "&amp;D290,Settings!$D$11:$D$25,0)),"OK","Tier not in Settings"),IF(G290="Unmapped","Team key not in Teams","OK")))</f>
        <v/>
      </c>
    </row>
    <row r="291">
      <c r="A291" s="12" t="n"/>
      <c r="B291" s="12" t="n"/>
      <c r="C291" s="12" t="n"/>
      <c r="D291" s="12" t="n"/>
      <c r="E291" s="18" t="n"/>
      <c r="F291" s="13" t="n"/>
      <c r="G291" s="19">
        <f>IF(C291="","",IF(IFERROR(INDEX(Teams!$C$5:$C$104,MATCH(B291,Teams!$A$5:$A$104,0))&amp;"","")="","Unmapped",INDEX(Teams!$C$5:$C$104,MATCH(B291,Teams!$A$5:$A$104,0))))</f>
        <v/>
      </c>
      <c r="H291" s="20">
        <f>IF(C291="","",IFERROR(INDEX(Settings!$C$11:$C$25,MATCH(C291&amp;" - "&amp;D291,Settings!$D$11:$D$25,0)),0))</f>
        <v/>
      </c>
      <c r="I291" s="21">
        <f>IF(C291="","",H291*IF(E291="",1,E291/Settings!$B$4))</f>
        <v/>
      </c>
      <c r="J291" s="21">
        <f>IF(OR(C291="",C291="Claude Code"),0,IF(IFERROR(INDEX(Settings!$C$29:$C$31,MATCH(C291,Settings!$A$29:$A$31,0)),"")="",N(F291),IF(SUMIFS($F$5:$F$304,$C$5:$C$304,C291&amp;"")=0,0,N(F291)/SUMIFS($F$5:$F$304,$C$5:$C$304,C291&amp;"")*INDEX(Settings!$C$29:$C$31,MATCH(C291,Settings!$A$29:$A$31,0)))))</f>
        <v/>
      </c>
      <c r="K291" s="21">
        <f>IF(C291="","",I291+J291)</f>
        <v/>
      </c>
      <c r="L291" s="14">
        <f>IF(C291="","",IF(H291=0,IF(ISNUMBER(MATCH(C291&amp;" - "&amp;D291,Settings!$D$11:$D$25,0)),"OK","Tier not in Settings"),IF(G291="Unmapped","Team key not in Teams","OK")))</f>
        <v/>
      </c>
    </row>
    <row r="292">
      <c r="A292" s="12" t="n"/>
      <c r="B292" s="12" t="n"/>
      <c r="C292" s="12" t="n"/>
      <c r="D292" s="12" t="n"/>
      <c r="E292" s="18" t="n"/>
      <c r="F292" s="13" t="n"/>
      <c r="G292" s="19">
        <f>IF(C292="","",IF(IFERROR(INDEX(Teams!$C$5:$C$104,MATCH(B292,Teams!$A$5:$A$104,0))&amp;"","")="","Unmapped",INDEX(Teams!$C$5:$C$104,MATCH(B292,Teams!$A$5:$A$104,0))))</f>
        <v/>
      </c>
      <c r="H292" s="20">
        <f>IF(C292="","",IFERROR(INDEX(Settings!$C$11:$C$25,MATCH(C292&amp;" - "&amp;D292,Settings!$D$11:$D$25,0)),0))</f>
        <v/>
      </c>
      <c r="I292" s="21">
        <f>IF(C292="","",H292*IF(E292="",1,E292/Settings!$B$4))</f>
        <v/>
      </c>
      <c r="J292" s="21">
        <f>IF(OR(C292="",C292="Claude Code"),0,IF(IFERROR(INDEX(Settings!$C$29:$C$31,MATCH(C292,Settings!$A$29:$A$31,0)),"")="",N(F292),IF(SUMIFS($F$5:$F$304,$C$5:$C$304,C292&amp;"")=0,0,N(F292)/SUMIFS($F$5:$F$304,$C$5:$C$304,C292&amp;"")*INDEX(Settings!$C$29:$C$31,MATCH(C292,Settings!$A$29:$A$31,0)))))</f>
        <v/>
      </c>
      <c r="K292" s="21">
        <f>IF(C292="","",I292+J292)</f>
        <v/>
      </c>
      <c r="L292" s="14">
        <f>IF(C292="","",IF(H292=0,IF(ISNUMBER(MATCH(C292&amp;" - "&amp;D292,Settings!$D$11:$D$25,0)),"OK","Tier not in Settings"),IF(G292="Unmapped","Team key not in Teams","OK")))</f>
        <v/>
      </c>
    </row>
    <row r="293">
      <c r="A293" s="12" t="n"/>
      <c r="B293" s="12" t="n"/>
      <c r="C293" s="12" t="n"/>
      <c r="D293" s="12" t="n"/>
      <c r="E293" s="18" t="n"/>
      <c r="F293" s="13" t="n"/>
      <c r="G293" s="19">
        <f>IF(C293="","",IF(IFERROR(INDEX(Teams!$C$5:$C$104,MATCH(B293,Teams!$A$5:$A$104,0))&amp;"","")="","Unmapped",INDEX(Teams!$C$5:$C$104,MATCH(B293,Teams!$A$5:$A$104,0))))</f>
        <v/>
      </c>
      <c r="H293" s="20">
        <f>IF(C293="","",IFERROR(INDEX(Settings!$C$11:$C$25,MATCH(C293&amp;" - "&amp;D293,Settings!$D$11:$D$25,0)),0))</f>
        <v/>
      </c>
      <c r="I293" s="21">
        <f>IF(C293="","",H293*IF(E293="",1,E293/Settings!$B$4))</f>
        <v/>
      </c>
      <c r="J293" s="21">
        <f>IF(OR(C293="",C293="Claude Code"),0,IF(IFERROR(INDEX(Settings!$C$29:$C$31,MATCH(C293,Settings!$A$29:$A$31,0)),"")="",N(F293),IF(SUMIFS($F$5:$F$304,$C$5:$C$304,C293&amp;"")=0,0,N(F293)/SUMIFS($F$5:$F$304,$C$5:$C$304,C293&amp;"")*INDEX(Settings!$C$29:$C$31,MATCH(C293,Settings!$A$29:$A$31,0)))))</f>
        <v/>
      </c>
      <c r="K293" s="21">
        <f>IF(C293="","",I293+J293)</f>
        <v/>
      </c>
      <c r="L293" s="14">
        <f>IF(C293="","",IF(H293=0,IF(ISNUMBER(MATCH(C293&amp;" - "&amp;D293,Settings!$D$11:$D$25,0)),"OK","Tier not in Settings"),IF(G293="Unmapped","Team key not in Teams","OK")))</f>
        <v/>
      </c>
    </row>
    <row r="294">
      <c r="A294" s="12" t="n"/>
      <c r="B294" s="12" t="n"/>
      <c r="C294" s="12" t="n"/>
      <c r="D294" s="12" t="n"/>
      <c r="E294" s="18" t="n"/>
      <c r="F294" s="13" t="n"/>
      <c r="G294" s="19">
        <f>IF(C294="","",IF(IFERROR(INDEX(Teams!$C$5:$C$104,MATCH(B294,Teams!$A$5:$A$104,0))&amp;"","")="","Unmapped",INDEX(Teams!$C$5:$C$104,MATCH(B294,Teams!$A$5:$A$104,0))))</f>
        <v/>
      </c>
      <c r="H294" s="20">
        <f>IF(C294="","",IFERROR(INDEX(Settings!$C$11:$C$25,MATCH(C294&amp;" - "&amp;D294,Settings!$D$11:$D$25,0)),0))</f>
        <v/>
      </c>
      <c r="I294" s="21">
        <f>IF(C294="","",H294*IF(E294="",1,E294/Settings!$B$4))</f>
        <v/>
      </c>
      <c r="J294" s="21">
        <f>IF(OR(C294="",C294="Claude Code"),0,IF(IFERROR(INDEX(Settings!$C$29:$C$31,MATCH(C294,Settings!$A$29:$A$31,0)),"")="",N(F294),IF(SUMIFS($F$5:$F$304,$C$5:$C$304,C294&amp;"")=0,0,N(F294)/SUMIFS($F$5:$F$304,$C$5:$C$304,C294&amp;"")*INDEX(Settings!$C$29:$C$31,MATCH(C294,Settings!$A$29:$A$31,0)))))</f>
        <v/>
      </c>
      <c r="K294" s="21">
        <f>IF(C294="","",I294+J294)</f>
        <v/>
      </c>
      <c r="L294" s="14">
        <f>IF(C294="","",IF(H294=0,IF(ISNUMBER(MATCH(C294&amp;" - "&amp;D294,Settings!$D$11:$D$25,0)),"OK","Tier not in Settings"),IF(G294="Unmapped","Team key not in Teams","OK")))</f>
        <v/>
      </c>
    </row>
    <row r="295">
      <c r="A295" s="12" t="n"/>
      <c r="B295" s="12" t="n"/>
      <c r="C295" s="12" t="n"/>
      <c r="D295" s="12" t="n"/>
      <c r="E295" s="18" t="n"/>
      <c r="F295" s="13" t="n"/>
      <c r="G295" s="19">
        <f>IF(C295="","",IF(IFERROR(INDEX(Teams!$C$5:$C$104,MATCH(B295,Teams!$A$5:$A$104,0))&amp;"","")="","Unmapped",INDEX(Teams!$C$5:$C$104,MATCH(B295,Teams!$A$5:$A$104,0))))</f>
        <v/>
      </c>
      <c r="H295" s="20">
        <f>IF(C295="","",IFERROR(INDEX(Settings!$C$11:$C$25,MATCH(C295&amp;" - "&amp;D295,Settings!$D$11:$D$25,0)),0))</f>
        <v/>
      </c>
      <c r="I295" s="21">
        <f>IF(C295="","",H295*IF(E295="",1,E295/Settings!$B$4))</f>
        <v/>
      </c>
      <c r="J295" s="21">
        <f>IF(OR(C295="",C295="Claude Code"),0,IF(IFERROR(INDEX(Settings!$C$29:$C$31,MATCH(C295,Settings!$A$29:$A$31,0)),"")="",N(F295),IF(SUMIFS($F$5:$F$304,$C$5:$C$304,C295&amp;"")=0,0,N(F295)/SUMIFS($F$5:$F$304,$C$5:$C$304,C295&amp;"")*INDEX(Settings!$C$29:$C$31,MATCH(C295,Settings!$A$29:$A$31,0)))))</f>
        <v/>
      </c>
      <c r="K295" s="21">
        <f>IF(C295="","",I295+J295)</f>
        <v/>
      </c>
      <c r="L295" s="14">
        <f>IF(C295="","",IF(H295=0,IF(ISNUMBER(MATCH(C295&amp;" - "&amp;D295,Settings!$D$11:$D$25,0)),"OK","Tier not in Settings"),IF(G295="Unmapped","Team key not in Teams","OK")))</f>
        <v/>
      </c>
    </row>
    <row r="296">
      <c r="A296" s="12" t="n"/>
      <c r="B296" s="12" t="n"/>
      <c r="C296" s="12" t="n"/>
      <c r="D296" s="12" t="n"/>
      <c r="E296" s="18" t="n"/>
      <c r="F296" s="13" t="n"/>
      <c r="G296" s="19">
        <f>IF(C296="","",IF(IFERROR(INDEX(Teams!$C$5:$C$104,MATCH(B296,Teams!$A$5:$A$104,0))&amp;"","")="","Unmapped",INDEX(Teams!$C$5:$C$104,MATCH(B296,Teams!$A$5:$A$104,0))))</f>
        <v/>
      </c>
      <c r="H296" s="20">
        <f>IF(C296="","",IFERROR(INDEX(Settings!$C$11:$C$25,MATCH(C296&amp;" - "&amp;D296,Settings!$D$11:$D$25,0)),0))</f>
        <v/>
      </c>
      <c r="I296" s="21">
        <f>IF(C296="","",H296*IF(E296="",1,E296/Settings!$B$4))</f>
        <v/>
      </c>
      <c r="J296" s="21">
        <f>IF(OR(C296="",C296="Claude Code"),0,IF(IFERROR(INDEX(Settings!$C$29:$C$31,MATCH(C296,Settings!$A$29:$A$31,0)),"")="",N(F296),IF(SUMIFS($F$5:$F$304,$C$5:$C$304,C296&amp;"")=0,0,N(F296)/SUMIFS($F$5:$F$304,$C$5:$C$304,C296&amp;"")*INDEX(Settings!$C$29:$C$31,MATCH(C296,Settings!$A$29:$A$31,0)))))</f>
        <v/>
      </c>
      <c r="K296" s="21">
        <f>IF(C296="","",I296+J296)</f>
        <v/>
      </c>
      <c r="L296" s="14">
        <f>IF(C296="","",IF(H296=0,IF(ISNUMBER(MATCH(C296&amp;" - "&amp;D296,Settings!$D$11:$D$25,0)),"OK","Tier not in Settings"),IF(G296="Unmapped","Team key not in Teams","OK")))</f>
        <v/>
      </c>
    </row>
    <row r="297">
      <c r="A297" s="12" t="n"/>
      <c r="B297" s="12" t="n"/>
      <c r="C297" s="12" t="n"/>
      <c r="D297" s="12" t="n"/>
      <c r="E297" s="18" t="n"/>
      <c r="F297" s="13" t="n"/>
      <c r="G297" s="19">
        <f>IF(C297="","",IF(IFERROR(INDEX(Teams!$C$5:$C$104,MATCH(B297,Teams!$A$5:$A$104,0))&amp;"","")="","Unmapped",INDEX(Teams!$C$5:$C$104,MATCH(B297,Teams!$A$5:$A$104,0))))</f>
        <v/>
      </c>
      <c r="H297" s="20">
        <f>IF(C297="","",IFERROR(INDEX(Settings!$C$11:$C$25,MATCH(C297&amp;" - "&amp;D297,Settings!$D$11:$D$25,0)),0))</f>
        <v/>
      </c>
      <c r="I297" s="21">
        <f>IF(C297="","",H297*IF(E297="",1,E297/Settings!$B$4))</f>
        <v/>
      </c>
      <c r="J297" s="21">
        <f>IF(OR(C297="",C297="Claude Code"),0,IF(IFERROR(INDEX(Settings!$C$29:$C$31,MATCH(C297,Settings!$A$29:$A$31,0)),"")="",N(F297),IF(SUMIFS($F$5:$F$304,$C$5:$C$304,C297&amp;"")=0,0,N(F297)/SUMIFS($F$5:$F$304,$C$5:$C$304,C297&amp;"")*INDEX(Settings!$C$29:$C$31,MATCH(C297,Settings!$A$29:$A$31,0)))))</f>
        <v/>
      </c>
      <c r="K297" s="21">
        <f>IF(C297="","",I297+J297)</f>
        <v/>
      </c>
      <c r="L297" s="14">
        <f>IF(C297="","",IF(H297=0,IF(ISNUMBER(MATCH(C297&amp;" - "&amp;D297,Settings!$D$11:$D$25,0)),"OK","Tier not in Settings"),IF(G297="Unmapped","Team key not in Teams","OK")))</f>
        <v/>
      </c>
    </row>
    <row r="298">
      <c r="A298" s="12" t="n"/>
      <c r="B298" s="12" t="n"/>
      <c r="C298" s="12" t="n"/>
      <c r="D298" s="12" t="n"/>
      <c r="E298" s="18" t="n"/>
      <c r="F298" s="13" t="n"/>
      <c r="G298" s="19">
        <f>IF(C298="","",IF(IFERROR(INDEX(Teams!$C$5:$C$104,MATCH(B298,Teams!$A$5:$A$104,0))&amp;"","")="","Unmapped",INDEX(Teams!$C$5:$C$104,MATCH(B298,Teams!$A$5:$A$104,0))))</f>
        <v/>
      </c>
      <c r="H298" s="20">
        <f>IF(C298="","",IFERROR(INDEX(Settings!$C$11:$C$25,MATCH(C298&amp;" - "&amp;D298,Settings!$D$11:$D$25,0)),0))</f>
        <v/>
      </c>
      <c r="I298" s="21">
        <f>IF(C298="","",H298*IF(E298="",1,E298/Settings!$B$4))</f>
        <v/>
      </c>
      <c r="J298" s="21">
        <f>IF(OR(C298="",C298="Claude Code"),0,IF(IFERROR(INDEX(Settings!$C$29:$C$31,MATCH(C298,Settings!$A$29:$A$31,0)),"")="",N(F298),IF(SUMIFS($F$5:$F$304,$C$5:$C$304,C298&amp;"")=0,0,N(F298)/SUMIFS($F$5:$F$304,$C$5:$C$304,C298&amp;"")*INDEX(Settings!$C$29:$C$31,MATCH(C298,Settings!$A$29:$A$31,0)))))</f>
        <v/>
      </c>
      <c r="K298" s="21">
        <f>IF(C298="","",I298+J298)</f>
        <v/>
      </c>
      <c r="L298" s="14">
        <f>IF(C298="","",IF(H298=0,IF(ISNUMBER(MATCH(C298&amp;" - "&amp;D298,Settings!$D$11:$D$25,0)),"OK","Tier not in Settings"),IF(G298="Unmapped","Team key not in Teams","OK")))</f>
        <v/>
      </c>
    </row>
    <row r="299">
      <c r="A299" s="12" t="n"/>
      <c r="B299" s="12" t="n"/>
      <c r="C299" s="12" t="n"/>
      <c r="D299" s="12" t="n"/>
      <c r="E299" s="18" t="n"/>
      <c r="F299" s="13" t="n"/>
      <c r="G299" s="19">
        <f>IF(C299="","",IF(IFERROR(INDEX(Teams!$C$5:$C$104,MATCH(B299,Teams!$A$5:$A$104,0))&amp;"","")="","Unmapped",INDEX(Teams!$C$5:$C$104,MATCH(B299,Teams!$A$5:$A$104,0))))</f>
        <v/>
      </c>
      <c r="H299" s="20">
        <f>IF(C299="","",IFERROR(INDEX(Settings!$C$11:$C$25,MATCH(C299&amp;" - "&amp;D299,Settings!$D$11:$D$25,0)),0))</f>
        <v/>
      </c>
      <c r="I299" s="21">
        <f>IF(C299="","",H299*IF(E299="",1,E299/Settings!$B$4))</f>
        <v/>
      </c>
      <c r="J299" s="21">
        <f>IF(OR(C299="",C299="Claude Code"),0,IF(IFERROR(INDEX(Settings!$C$29:$C$31,MATCH(C299,Settings!$A$29:$A$31,0)),"")="",N(F299),IF(SUMIFS($F$5:$F$304,$C$5:$C$304,C299&amp;"")=0,0,N(F299)/SUMIFS($F$5:$F$304,$C$5:$C$304,C299&amp;"")*INDEX(Settings!$C$29:$C$31,MATCH(C299,Settings!$A$29:$A$31,0)))))</f>
        <v/>
      </c>
      <c r="K299" s="21">
        <f>IF(C299="","",I299+J299)</f>
        <v/>
      </c>
      <c r="L299" s="14">
        <f>IF(C299="","",IF(H299=0,IF(ISNUMBER(MATCH(C299&amp;" - "&amp;D299,Settings!$D$11:$D$25,0)),"OK","Tier not in Settings"),IF(G299="Unmapped","Team key not in Teams","OK")))</f>
        <v/>
      </c>
    </row>
    <row r="300">
      <c r="A300" s="12" t="n"/>
      <c r="B300" s="12" t="n"/>
      <c r="C300" s="12" t="n"/>
      <c r="D300" s="12" t="n"/>
      <c r="E300" s="18" t="n"/>
      <c r="F300" s="13" t="n"/>
      <c r="G300" s="19">
        <f>IF(C300="","",IF(IFERROR(INDEX(Teams!$C$5:$C$104,MATCH(B300,Teams!$A$5:$A$104,0))&amp;"","")="","Unmapped",INDEX(Teams!$C$5:$C$104,MATCH(B300,Teams!$A$5:$A$104,0))))</f>
        <v/>
      </c>
      <c r="H300" s="20">
        <f>IF(C300="","",IFERROR(INDEX(Settings!$C$11:$C$25,MATCH(C300&amp;" - "&amp;D300,Settings!$D$11:$D$25,0)),0))</f>
        <v/>
      </c>
      <c r="I300" s="21">
        <f>IF(C300="","",H300*IF(E300="",1,E300/Settings!$B$4))</f>
        <v/>
      </c>
      <c r="J300" s="21">
        <f>IF(OR(C300="",C300="Claude Code"),0,IF(IFERROR(INDEX(Settings!$C$29:$C$31,MATCH(C300,Settings!$A$29:$A$31,0)),"")="",N(F300),IF(SUMIFS($F$5:$F$304,$C$5:$C$304,C300&amp;"")=0,0,N(F300)/SUMIFS($F$5:$F$304,$C$5:$C$304,C300&amp;"")*INDEX(Settings!$C$29:$C$31,MATCH(C300,Settings!$A$29:$A$31,0)))))</f>
        <v/>
      </c>
      <c r="K300" s="21">
        <f>IF(C300="","",I300+J300)</f>
        <v/>
      </c>
      <c r="L300" s="14">
        <f>IF(C300="","",IF(H300=0,IF(ISNUMBER(MATCH(C300&amp;" - "&amp;D300,Settings!$D$11:$D$25,0)),"OK","Tier not in Settings"),IF(G300="Unmapped","Team key not in Teams","OK")))</f>
        <v/>
      </c>
    </row>
    <row r="301">
      <c r="A301" s="12" t="n"/>
      <c r="B301" s="12" t="n"/>
      <c r="C301" s="12" t="n"/>
      <c r="D301" s="12" t="n"/>
      <c r="E301" s="18" t="n"/>
      <c r="F301" s="13" t="n"/>
      <c r="G301" s="19">
        <f>IF(C301="","",IF(IFERROR(INDEX(Teams!$C$5:$C$104,MATCH(B301,Teams!$A$5:$A$104,0))&amp;"","")="","Unmapped",INDEX(Teams!$C$5:$C$104,MATCH(B301,Teams!$A$5:$A$104,0))))</f>
        <v/>
      </c>
      <c r="H301" s="20">
        <f>IF(C301="","",IFERROR(INDEX(Settings!$C$11:$C$25,MATCH(C301&amp;" - "&amp;D301,Settings!$D$11:$D$25,0)),0))</f>
        <v/>
      </c>
      <c r="I301" s="21">
        <f>IF(C301="","",H301*IF(E301="",1,E301/Settings!$B$4))</f>
        <v/>
      </c>
      <c r="J301" s="21">
        <f>IF(OR(C301="",C301="Claude Code"),0,IF(IFERROR(INDEX(Settings!$C$29:$C$31,MATCH(C301,Settings!$A$29:$A$31,0)),"")="",N(F301),IF(SUMIFS($F$5:$F$304,$C$5:$C$304,C301&amp;"")=0,0,N(F301)/SUMIFS($F$5:$F$304,$C$5:$C$304,C301&amp;"")*INDEX(Settings!$C$29:$C$31,MATCH(C301,Settings!$A$29:$A$31,0)))))</f>
        <v/>
      </c>
      <c r="K301" s="21">
        <f>IF(C301="","",I301+J301)</f>
        <v/>
      </c>
      <c r="L301" s="14">
        <f>IF(C301="","",IF(H301=0,IF(ISNUMBER(MATCH(C301&amp;" - "&amp;D301,Settings!$D$11:$D$25,0)),"OK","Tier not in Settings"),IF(G301="Unmapped","Team key not in Teams","OK")))</f>
        <v/>
      </c>
    </row>
    <row r="302">
      <c r="A302" s="12" t="n"/>
      <c r="B302" s="12" t="n"/>
      <c r="C302" s="12" t="n"/>
      <c r="D302" s="12" t="n"/>
      <c r="E302" s="18" t="n"/>
      <c r="F302" s="13" t="n"/>
      <c r="G302" s="19">
        <f>IF(C302="","",IF(IFERROR(INDEX(Teams!$C$5:$C$104,MATCH(B302,Teams!$A$5:$A$104,0))&amp;"","")="","Unmapped",INDEX(Teams!$C$5:$C$104,MATCH(B302,Teams!$A$5:$A$104,0))))</f>
        <v/>
      </c>
      <c r="H302" s="20">
        <f>IF(C302="","",IFERROR(INDEX(Settings!$C$11:$C$25,MATCH(C302&amp;" - "&amp;D302,Settings!$D$11:$D$25,0)),0))</f>
        <v/>
      </c>
      <c r="I302" s="21">
        <f>IF(C302="","",H302*IF(E302="",1,E302/Settings!$B$4))</f>
        <v/>
      </c>
      <c r="J302" s="21">
        <f>IF(OR(C302="",C302="Claude Code"),0,IF(IFERROR(INDEX(Settings!$C$29:$C$31,MATCH(C302,Settings!$A$29:$A$31,0)),"")="",N(F302),IF(SUMIFS($F$5:$F$304,$C$5:$C$304,C302&amp;"")=0,0,N(F302)/SUMIFS($F$5:$F$304,$C$5:$C$304,C302&amp;"")*INDEX(Settings!$C$29:$C$31,MATCH(C302,Settings!$A$29:$A$31,0)))))</f>
        <v/>
      </c>
      <c r="K302" s="21">
        <f>IF(C302="","",I302+J302)</f>
        <v/>
      </c>
      <c r="L302" s="14">
        <f>IF(C302="","",IF(H302=0,IF(ISNUMBER(MATCH(C302&amp;" - "&amp;D302,Settings!$D$11:$D$25,0)),"OK","Tier not in Settings"),IF(G302="Unmapped","Team key not in Teams","OK")))</f>
        <v/>
      </c>
    </row>
    <row r="303">
      <c r="A303" s="12" t="n"/>
      <c r="B303" s="12" t="n"/>
      <c r="C303" s="12" t="n"/>
      <c r="D303" s="12" t="n"/>
      <c r="E303" s="18" t="n"/>
      <c r="F303" s="13" t="n"/>
      <c r="G303" s="19">
        <f>IF(C303="","",IF(IFERROR(INDEX(Teams!$C$5:$C$104,MATCH(B303,Teams!$A$5:$A$104,0))&amp;"","")="","Unmapped",INDEX(Teams!$C$5:$C$104,MATCH(B303,Teams!$A$5:$A$104,0))))</f>
        <v/>
      </c>
      <c r="H303" s="20">
        <f>IF(C303="","",IFERROR(INDEX(Settings!$C$11:$C$25,MATCH(C303&amp;" - "&amp;D303,Settings!$D$11:$D$25,0)),0))</f>
        <v/>
      </c>
      <c r="I303" s="21">
        <f>IF(C303="","",H303*IF(E303="",1,E303/Settings!$B$4))</f>
        <v/>
      </c>
      <c r="J303" s="21">
        <f>IF(OR(C303="",C303="Claude Code"),0,IF(IFERROR(INDEX(Settings!$C$29:$C$31,MATCH(C303,Settings!$A$29:$A$31,0)),"")="",N(F303),IF(SUMIFS($F$5:$F$304,$C$5:$C$304,C303&amp;"")=0,0,N(F303)/SUMIFS($F$5:$F$304,$C$5:$C$304,C303&amp;"")*INDEX(Settings!$C$29:$C$31,MATCH(C303,Settings!$A$29:$A$31,0)))))</f>
        <v/>
      </c>
      <c r="K303" s="21">
        <f>IF(C303="","",I303+J303)</f>
        <v/>
      </c>
      <c r="L303" s="14">
        <f>IF(C303="","",IF(H303=0,IF(ISNUMBER(MATCH(C303&amp;" - "&amp;D303,Settings!$D$11:$D$25,0)),"OK","Tier not in Settings"),IF(G303="Unmapped","Team key not in Teams","OK")))</f>
        <v/>
      </c>
    </row>
    <row r="304">
      <c r="A304" s="12" t="n"/>
      <c r="B304" s="12" t="n"/>
      <c r="C304" s="12" t="n"/>
      <c r="D304" s="12" t="n"/>
      <c r="E304" s="18" t="n"/>
      <c r="F304" s="13" t="n"/>
      <c r="G304" s="19">
        <f>IF(C304="","",IF(IFERROR(INDEX(Teams!$C$5:$C$104,MATCH(B304,Teams!$A$5:$A$104,0))&amp;"","")="","Unmapped",INDEX(Teams!$C$5:$C$104,MATCH(B304,Teams!$A$5:$A$104,0))))</f>
        <v/>
      </c>
      <c r="H304" s="20">
        <f>IF(C304="","",IFERROR(INDEX(Settings!$C$11:$C$25,MATCH(C304&amp;" - "&amp;D304,Settings!$D$11:$D$25,0)),0))</f>
        <v/>
      </c>
      <c r="I304" s="21">
        <f>IF(C304="","",H304*IF(E304="",1,E304/Settings!$B$4))</f>
        <v/>
      </c>
      <c r="J304" s="21">
        <f>IF(OR(C304="",C304="Claude Code"),0,IF(IFERROR(INDEX(Settings!$C$29:$C$31,MATCH(C304,Settings!$A$29:$A$31,0)),"")="",N(F304),IF(SUMIFS($F$5:$F$304,$C$5:$C$304,C304&amp;"")=0,0,N(F304)/SUMIFS($F$5:$F$304,$C$5:$C$304,C304&amp;"")*INDEX(Settings!$C$29:$C$31,MATCH(C304,Settings!$A$29:$A$31,0)))))</f>
        <v/>
      </c>
      <c r="K304" s="21">
        <f>IF(C304="","",I304+J304)</f>
        <v/>
      </c>
      <c r="L304" s="14">
        <f>IF(C304="","",IF(H304=0,IF(ISNUMBER(MATCH(C304&amp;" - "&amp;D304,Settings!$D$11:$D$25,0)),"OK","Tier not in Settings"),IF(G304="Unmapped","Team key not in Teams","OK")))</f>
        <v/>
      </c>
    </row>
  </sheetData>
  <dataValidations count="2">
    <dataValidation sqref="C5:C304" showDropDown="0" showInputMessage="0" showErrorMessage="0" allowBlank="1" type="list">
      <formula1>"Claude Code,Cursor,GitHub Copilot"</formula1>
    </dataValidation>
    <dataValidation sqref="D5:D304" showDropDown="0" showInputMessage="0" showErrorMessage="0" allowBlank="1" type="list">
      <formula1>=Settings!$B$11:$B$25</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66"/>
  <sheetViews>
    <sheetView showGridLines="1" workbookViewId="0">
      <pane ySplit="4" topLeftCell="A5" activePane="bottomLeft" state="frozen"/>
      <selection pane="bottomLeft" activeCell="A1" sqref="A1"/>
    </sheetView>
  </sheetViews>
  <sheetFormatPr baseColWidth="8" defaultRowHeight="15"/>
  <cols>
    <col width="16" customWidth="1" min="1" max="1"/>
    <col width="12" customWidth="1" min="2" max="2"/>
    <col width="12" customWidth="1" min="3" max="3"/>
    <col width="11" customWidth="1" min="4" max="4"/>
    <col width="12" customWidth="1" min="5" max="5"/>
    <col width="16" customWidth="1" min="6" max="6"/>
    <col width="16" customWidth="1" min="7" max="7"/>
    <col width="13" customWidth="1" min="8" max="8"/>
    <col width="14" customWidth="1" min="9" max="9"/>
    <col width="16" customWidth="1" min="10" max="10"/>
  </cols>
  <sheetData>
    <row r="1">
      <c r="A1" s="5" t="inlineStr">
        <is>
          <t>Claude Code usage by team (paste from Ganivra)</t>
        </is>
      </c>
    </row>
    <row r="2">
      <c r="A2" s="8" t="inlineStr">
        <is>
          <t>In Ganivra: Dashboard &gt; Coding agents &gt; Teams &gt; Download teams (.csv). Paste the rows (without the header) at A5. Columns A to H match the export; I and J are formulas.</t>
        </is>
      </c>
    </row>
    <row r="3">
      <c r="A3" s="8" t="inlineStr">
        <is>
          <t>Cost is Claude Code usage at list API rates. On a seat plan, part of it is covered by seats, so the sheet uses each team's share to split the usage on your invoice.</t>
        </is>
      </c>
    </row>
    <row r="4" ht="32" customHeight="1">
      <c r="A4" s="11" t="inlineStr">
        <is>
          <t>team</t>
        </is>
      </c>
      <c r="B4" s="11" t="inlineStr">
        <is>
          <t>developers</t>
        </is>
      </c>
      <c r="C4" s="11" t="inlineStr">
        <is>
          <t>requests</t>
        </is>
      </c>
      <c r="D4" s="11" t="inlineStr">
        <is>
          <t>sessions</t>
        </is>
      </c>
      <c r="E4" s="11" t="inlineStr">
        <is>
          <t>active_days</t>
        </is>
      </c>
      <c r="F4" s="11" t="inlineStr">
        <is>
          <t>tokens</t>
        </is>
      </c>
      <c r="G4" s="11" t="inlineStr">
        <is>
          <t>cost_usd (list rates)</t>
        </is>
      </c>
      <c r="H4" s="11" t="inlineStr">
        <is>
          <t>priced_as_of</t>
        </is>
      </c>
      <c r="I4" s="11" t="inlineStr">
        <is>
          <t>Cost centre</t>
        </is>
      </c>
      <c r="J4" s="11" t="inlineStr">
        <is>
          <t>Allocated usage ($)</t>
        </is>
      </c>
    </row>
    <row r="5">
      <c r="A5" s="16" t="inlineStr">
        <is>
          <t>payments</t>
        </is>
      </c>
      <c r="B5" s="17" t="n">
        <v>3</v>
      </c>
      <c r="C5" s="17" t="n">
        <v>4120</v>
      </c>
      <c r="D5" s="17" t="n">
        <v>310</v>
      </c>
      <c r="E5" s="17" t="n">
        <v>21</v>
      </c>
      <c r="F5" s="17" t="n">
        <v>182400000</v>
      </c>
      <c r="G5" s="15" t="n">
        <v>1240.5</v>
      </c>
      <c r="H5" s="16" t="inlineStr">
        <is>
          <t>2026-10-31</t>
        </is>
      </c>
      <c r="I5" s="19">
        <f>IF(A5="","",IF(IFERROR(INDEX(Teams!$C$5:$C$104,MATCH(A5,Teams!$A$5:$A$104,0))&amp;"","")="","Unmapped",INDEX(Teams!$C$5:$C$104,MATCH(A5,Teams!$A$5:$A$104,0))))</f>
        <v/>
      </c>
      <c r="J5" s="21">
        <f>IF(A5="","",IF(Settings!$C$29="",N(G5),IF(SUM($G$5:$G$64)=0,0,N(G5)/SUM($G$5:$G$64)*Settings!$C$29)))</f>
        <v/>
      </c>
    </row>
    <row r="6">
      <c r="A6" s="16" t="inlineStr">
        <is>
          <t>platform</t>
        </is>
      </c>
      <c r="B6" s="17" t="n">
        <v>3</v>
      </c>
      <c r="C6" s="17" t="n">
        <v>7980</v>
      </c>
      <c r="D6" s="17" t="n">
        <v>512</v>
      </c>
      <c r="E6" s="17" t="n">
        <v>22</v>
      </c>
      <c r="F6" s="17" t="n">
        <v>361900000</v>
      </c>
      <c r="G6" s="15" t="n">
        <v>2310.2</v>
      </c>
      <c r="H6" s="16" t="inlineStr">
        <is>
          <t>2026-10-31</t>
        </is>
      </c>
      <c r="I6" s="19">
        <f>IF(A6="","",IF(IFERROR(INDEX(Teams!$C$5:$C$104,MATCH(A6,Teams!$A$5:$A$104,0))&amp;"","")="","Unmapped",INDEX(Teams!$C$5:$C$104,MATCH(A6,Teams!$A$5:$A$104,0))))</f>
        <v/>
      </c>
      <c r="J6" s="21">
        <f>IF(A6="","",IF(Settings!$C$29="",N(G6),IF(SUM($G$5:$G$64)=0,0,N(G6)/SUM($G$5:$G$64)*Settings!$C$29)))</f>
        <v/>
      </c>
    </row>
    <row r="7">
      <c r="A7" s="16" t="inlineStr">
        <is>
          <t>mobile</t>
        </is>
      </c>
      <c r="B7" s="17" t="n">
        <v>1</v>
      </c>
      <c r="C7" s="17" t="n">
        <v>1290</v>
      </c>
      <c r="D7" s="17" t="n">
        <v>96</v>
      </c>
      <c r="E7" s="17" t="n">
        <v>18</v>
      </c>
      <c r="F7" s="17" t="n">
        <v>58300000</v>
      </c>
      <c r="G7" s="15" t="n">
        <v>410.75</v>
      </c>
      <c r="H7" s="16" t="inlineStr">
        <is>
          <t>2026-10-31</t>
        </is>
      </c>
      <c r="I7" s="19">
        <f>IF(A7="","",IF(IFERROR(INDEX(Teams!$C$5:$C$104,MATCH(A7,Teams!$A$5:$A$104,0))&amp;"","")="","Unmapped",INDEX(Teams!$C$5:$C$104,MATCH(A7,Teams!$A$5:$A$104,0))))</f>
        <v/>
      </c>
      <c r="J7" s="21">
        <f>IF(A7="","",IF(Settings!$C$29="",N(G7),IF(SUM($G$5:$G$64)=0,0,N(G7)/SUM($G$5:$G$64)*Settings!$C$29)))</f>
        <v/>
      </c>
    </row>
    <row r="8">
      <c r="A8" s="16" t="inlineStr">
        <is>
          <t>data</t>
        </is>
      </c>
      <c r="B8" s="17" t="n">
        <v>2</v>
      </c>
      <c r="C8" s="17" t="n">
        <v>2040</v>
      </c>
      <c r="D8" s="17" t="n">
        <v>140</v>
      </c>
      <c r="E8" s="17" t="n">
        <v>19</v>
      </c>
      <c r="F8" s="17" t="n">
        <v>99700000</v>
      </c>
      <c r="G8" s="15" t="n">
        <v>655</v>
      </c>
      <c r="H8" s="16" t="inlineStr">
        <is>
          <t>2026-10-31</t>
        </is>
      </c>
      <c r="I8" s="19">
        <f>IF(A8="","",IF(IFERROR(INDEX(Teams!$C$5:$C$104,MATCH(A8,Teams!$A$5:$A$104,0))&amp;"","")="","Unmapped",INDEX(Teams!$C$5:$C$104,MATCH(A8,Teams!$A$5:$A$104,0))))</f>
        <v/>
      </c>
      <c r="J8" s="21">
        <f>IF(A8="","",IF(Settings!$C$29="",N(G8),IF(SUM($G$5:$G$64)=0,0,N(G8)/SUM($G$5:$G$64)*Settings!$C$29)))</f>
        <v/>
      </c>
    </row>
    <row r="9">
      <c r="A9" s="16" t="inlineStr">
        <is>
          <t>No team</t>
        </is>
      </c>
      <c r="B9" s="17" t="n">
        <v>1</v>
      </c>
      <c r="C9" s="17" t="n">
        <v>310</v>
      </c>
      <c r="D9" s="17" t="n">
        <v>22</v>
      </c>
      <c r="E9" s="17" t="n">
        <v>6</v>
      </c>
      <c r="F9" s="17" t="n">
        <v>13100000</v>
      </c>
      <c r="G9" s="15" t="n">
        <v>92.40000000000001</v>
      </c>
      <c r="H9" s="16" t="inlineStr">
        <is>
          <t>2026-10-31</t>
        </is>
      </c>
      <c r="I9" s="19">
        <f>IF(A9="","",IF(IFERROR(INDEX(Teams!$C$5:$C$104,MATCH(A9,Teams!$A$5:$A$104,0))&amp;"","")="","Unmapped",INDEX(Teams!$C$5:$C$104,MATCH(A9,Teams!$A$5:$A$104,0))))</f>
        <v/>
      </c>
      <c r="J9" s="21">
        <f>IF(A9="","",IF(Settings!$C$29="",N(G9),IF(SUM($G$5:$G$64)=0,0,N(G9)/SUM($G$5:$G$64)*Settings!$C$29)))</f>
        <v/>
      </c>
    </row>
    <row r="10">
      <c r="A10" s="12" t="n"/>
      <c r="B10" s="18" t="n"/>
      <c r="C10" s="18" t="n"/>
      <c r="D10" s="18" t="n"/>
      <c r="E10" s="18" t="n"/>
      <c r="F10" s="18" t="n"/>
      <c r="G10" s="13" t="n"/>
      <c r="H10" s="12" t="n"/>
      <c r="I10" s="19">
        <f>IF(A10="","",IF(IFERROR(INDEX(Teams!$C$5:$C$104,MATCH(A10,Teams!$A$5:$A$104,0))&amp;"","")="","Unmapped",INDEX(Teams!$C$5:$C$104,MATCH(A10,Teams!$A$5:$A$104,0))))</f>
        <v/>
      </c>
      <c r="J10" s="21">
        <f>IF(A10="","",IF(Settings!$C$29="",N(G10),IF(SUM($G$5:$G$64)=0,0,N(G10)/SUM($G$5:$G$64)*Settings!$C$29)))</f>
        <v/>
      </c>
    </row>
    <row r="11">
      <c r="A11" s="12" t="n"/>
      <c r="B11" s="18" t="n"/>
      <c r="C11" s="18" t="n"/>
      <c r="D11" s="18" t="n"/>
      <c r="E11" s="18" t="n"/>
      <c r="F11" s="18" t="n"/>
      <c r="G11" s="13" t="n"/>
      <c r="H11" s="12" t="n"/>
      <c r="I11" s="19">
        <f>IF(A11="","",IF(IFERROR(INDEX(Teams!$C$5:$C$104,MATCH(A11,Teams!$A$5:$A$104,0))&amp;"","")="","Unmapped",INDEX(Teams!$C$5:$C$104,MATCH(A11,Teams!$A$5:$A$104,0))))</f>
        <v/>
      </c>
      <c r="J11" s="21">
        <f>IF(A11="","",IF(Settings!$C$29="",N(G11),IF(SUM($G$5:$G$64)=0,0,N(G11)/SUM($G$5:$G$64)*Settings!$C$29)))</f>
        <v/>
      </c>
    </row>
    <row r="12">
      <c r="A12" s="12" t="n"/>
      <c r="B12" s="18" t="n"/>
      <c r="C12" s="18" t="n"/>
      <c r="D12" s="18" t="n"/>
      <c r="E12" s="18" t="n"/>
      <c r="F12" s="18" t="n"/>
      <c r="G12" s="13" t="n"/>
      <c r="H12" s="12" t="n"/>
      <c r="I12" s="19">
        <f>IF(A12="","",IF(IFERROR(INDEX(Teams!$C$5:$C$104,MATCH(A12,Teams!$A$5:$A$104,0))&amp;"","")="","Unmapped",INDEX(Teams!$C$5:$C$104,MATCH(A12,Teams!$A$5:$A$104,0))))</f>
        <v/>
      </c>
      <c r="J12" s="21">
        <f>IF(A12="","",IF(Settings!$C$29="",N(G12),IF(SUM($G$5:$G$64)=0,0,N(G12)/SUM($G$5:$G$64)*Settings!$C$29)))</f>
        <v/>
      </c>
    </row>
    <row r="13">
      <c r="A13" s="12" t="n"/>
      <c r="B13" s="18" t="n"/>
      <c r="C13" s="18" t="n"/>
      <c r="D13" s="18" t="n"/>
      <c r="E13" s="18" t="n"/>
      <c r="F13" s="18" t="n"/>
      <c r="G13" s="13" t="n"/>
      <c r="H13" s="12" t="n"/>
      <c r="I13" s="19">
        <f>IF(A13="","",IF(IFERROR(INDEX(Teams!$C$5:$C$104,MATCH(A13,Teams!$A$5:$A$104,0))&amp;"","")="","Unmapped",INDEX(Teams!$C$5:$C$104,MATCH(A13,Teams!$A$5:$A$104,0))))</f>
        <v/>
      </c>
      <c r="J13" s="21">
        <f>IF(A13="","",IF(Settings!$C$29="",N(G13),IF(SUM($G$5:$G$64)=0,0,N(G13)/SUM($G$5:$G$64)*Settings!$C$29)))</f>
        <v/>
      </c>
    </row>
    <row r="14">
      <c r="A14" s="12" t="n"/>
      <c r="B14" s="18" t="n"/>
      <c r="C14" s="18" t="n"/>
      <c r="D14" s="18" t="n"/>
      <c r="E14" s="18" t="n"/>
      <c r="F14" s="18" t="n"/>
      <c r="G14" s="13" t="n"/>
      <c r="H14" s="12" t="n"/>
      <c r="I14" s="19">
        <f>IF(A14="","",IF(IFERROR(INDEX(Teams!$C$5:$C$104,MATCH(A14,Teams!$A$5:$A$104,0))&amp;"","")="","Unmapped",INDEX(Teams!$C$5:$C$104,MATCH(A14,Teams!$A$5:$A$104,0))))</f>
        <v/>
      </c>
      <c r="J14" s="21">
        <f>IF(A14="","",IF(Settings!$C$29="",N(G14),IF(SUM($G$5:$G$64)=0,0,N(G14)/SUM($G$5:$G$64)*Settings!$C$29)))</f>
        <v/>
      </c>
    </row>
    <row r="15">
      <c r="A15" s="12" t="n"/>
      <c r="B15" s="18" t="n"/>
      <c r="C15" s="18" t="n"/>
      <c r="D15" s="18" t="n"/>
      <c r="E15" s="18" t="n"/>
      <c r="F15" s="18" t="n"/>
      <c r="G15" s="13" t="n"/>
      <c r="H15" s="12" t="n"/>
      <c r="I15" s="19">
        <f>IF(A15="","",IF(IFERROR(INDEX(Teams!$C$5:$C$104,MATCH(A15,Teams!$A$5:$A$104,0))&amp;"","")="","Unmapped",INDEX(Teams!$C$5:$C$104,MATCH(A15,Teams!$A$5:$A$104,0))))</f>
        <v/>
      </c>
      <c r="J15" s="21">
        <f>IF(A15="","",IF(Settings!$C$29="",N(G15),IF(SUM($G$5:$G$64)=0,0,N(G15)/SUM($G$5:$G$64)*Settings!$C$29)))</f>
        <v/>
      </c>
    </row>
    <row r="16">
      <c r="A16" s="12" t="n"/>
      <c r="B16" s="18" t="n"/>
      <c r="C16" s="18" t="n"/>
      <c r="D16" s="18" t="n"/>
      <c r="E16" s="18" t="n"/>
      <c r="F16" s="18" t="n"/>
      <c r="G16" s="13" t="n"/>
      <c r="H16" s="12" t="n"/>
      <c r="I16" s="19">
        <f>IF(A16="","",IF(IFERROR(INDEX(Teams!$C$5:$C$104,MATCH(A16,Teams!$A$5:$A$104,0))&amp;"","")="","Unmapped",INDEX(Teams!$C$5:$C$104,MATCH(A16,Teams!$A$5:$A$104,0))))</f>
        <v/>
      </c>
      <c r="J16" s="21">
        <f>IF(A16="","",IF(Settings!$C$29="",N(G16),IF(SUM($G$5:$G$64)=0,0,N(G16)/SUM($G$5:$G$64)*Settings!$C$29)))</f>
        <v/>
      </c>
    </row>
    <row r="17">
      <c r="A17" s="12" t="n"/>
      <c r="B17" s="18" t="n"/>
      <c r="C17" s="18" t="n"/>
      <c r="D17" s="18" t="n"/>
      <c r="E17" s="18" t="n"/>
      <c r="F17" s="18" t="n"/>
      <c r="G17" s="13" t="n"/>
      <c r="H17" s="12" t="n"/>
      <c r="I17" s="19">
        <f>IF(A17="","",IF(IFERROR(INDEX(Teams!$C$5:$C$104,MATCH(A17,Teams!$A$5:$A$104,0))&amp;"","")="","Unmapped",INDEX(Teams!$C$5:$C$104,MATCH(A17,Teams!$A$5:$A$104,0))))</f>
        <v/>
      </c>
      <c r="J17" s="21">
        <f>IF(A17="","",IF(Settings!$C$29="",N(G17),IF(SUM($G$5:$G$64)=0,0,N(G17)/SUM($G$5:$G$64)*Settings!$C$29)))</f>
        <v/>
      </c>
    </row>
    <row r="18">
      <c r="A18" s="12" t="n"/>
      <c r="B18" s="18" t="n"/>
      <c r="C18" s="18" t="n"/>
      <c r="D18" s="18" t="n"/>
      <c r="E18" s="18" t="n"/>
      <c r="F18" s="18" t="n"/>
      <c r="G18" s="13" t="n"/>
      <c r="H18" s="12" t="n"/>
      <c r="I18" s="19">
        <f>IF(A18="","",IF(IFERROR(INDEX(Teams!$C$5:$C$104,MATCH(A18,Teams!$A$5:$A$104,0))&amp;"","")="","Unmapped",INDEX(Teams!$C$5:$C$104,MATCH(A18,Teams!$A$5:$A$104,0))))</f>
        <v/>
      </c>
      <c r="J18" s="21">
        <f>IF(A18="","",IF(Settings!$C$29="",N(G18),IF(SUM($G$5:$G$64)=0,0,N(G18)/SUM($G$5:$G$64)*Settings!$C$29)))</f>
        <v/>
      </c>
    </row>
    <row r="19">
      <c r="A19" s="12" t="n"/>
      <c r="B19" s="18" t="n"/>
      <c r="C19" s="18" t="n"/>
      <c r="D19" s="18" t="n"/>
      <c r="E19" s="18" t="n"/>
      <c r="F19" s="18" t="n"/>
      <c r="G19" s="13" t="n"/>
      <c r="H19" s="12" t="n"/>
      <c r="I19" s="19">
        <f>IF(A19="","",IF(IFERROR(INDEX(Teams!$C$5:$C$104,MATCH(A19,Teams!$A$5:$A$104,0))&amp;"","")="","Unmapped",INDEX(Teams!$C$5:$C$104,MATCH(A19,Teams!$A$5:$A$104,0))))</f>
        <v/>
      </c>
      <c r="J19" s="21">
        <f>IF(A19="","",IF(Settings!$C$29="",N(G19),IF(SUM($G$5:$G$64)=0,0,N(G19)/SUM($G$5:$G$64)*Settings!$C$29)))</f>
        <v/>
      </c>
    </row>
    <row r="20">
      <c r="A20" s="12" t="n"/>
      <c r="B20" s="18" t="n"/>
      <c r="C20" s="18" t="n"/>
      <c r="D20" s="18" t="n"/>
      <c r="E20" s="18" t="n"/>
      <c r="F20" s="18" t="n"/>
      <c r="G20" s="13" t="n"/>
      <c r="H20" s="12" t="n"/>
      <c r="I20" s="19">
        <f>IF(A20="","",IF(IFERROR(INDEX(Teams!$C$5:$C$104,MATCH(A20,Teams!$A$5:$A$104,0))&amp;"","")="","Unmapped",INDEX(Teams!$C$5:$C$104,MATCH(A20,Teams!$A$5:$A$104,0))))</f>
        <v/>
      </c>
      <c r="J20" s="21">
        <f>IF(A20="","",IF(Settings!$C$29="",N(G20),IF(SUM($G$5:$G$64)=0,0,N(G20)/SUM($G$5:$G$64)*Settings!$C$29)))</f>
        <v/>
      </c>
    </row>
    <row r="21">
      <c r="A21" s="12" t="n"/>
      <c r="B21" s="18" t="n"/>
      <c r="C21" s="18" t="n"/>
      <c r="D21" s="18" t="n"/>
      <c r="E21" s="18" t="n"/>
      <c r="F21" s="18" t="n"/>
      <c r="G21" s="13" t="n"/>
      <c r="H21" s="12" t="n"/>
      <c r="I21" s="19">
        <f>IF(A21="","",IF(IFERROR(INDEX(Teams!$C$5:$C$104,MATCH(A21,Teams!$A$5:$A$104,0))&amp;"","")="","Unmapped",INDEX(Teams!$C$5:$C$104,MATCH(A21,Teams!$A$5:$A$104,0))))</f>
        <v/>
      </c>
      <c r="J21" s="21">
        <f>IF(A21="","",IF(Settings!$C$29="",N(G21),IF(SUM($G$5:$G$64)=0,0,N(G21)/SUM($G$5:$G$64)*Settings!$C$29)))</f>
        <v/>
      </c>
    </row>
    <row r="22">
      <c r="A22" s="12" t="n"/>
      <c r="B22" s="18" t="n"/>
      <c r="C22" s="18" t="n"/>
      <c r="D22" s="18" t="n"/>
      <c r="E22" s="18" t="n"/>
      <c r="F22" s="18" t="n"/>
      <c r="G22" s="13" t="n"/>
      <c r="H22" s="12" t="n"/>
      <c r="I22" s="19">
        <f>IF(A22="","",IF(IFERROR(INDEX(Teams!$C$5:$C$104,MATCH(A22,Teams!$A$5:$A$104,0))&amp;"","")="","Unmapped",INDEX(Teams!$C$5:$C$104,MATCH(A22,Teams!$A$5:$A$104,0))))</f>
        <v/>
      </c>
      <c r="J22" s="21">
        <f>IF(A22="","",IF(Settings!$C$29="",N(G22),IF(SUM($G$5:$G$64)=0,0,N(G22)/SUM($G$5:$G$64)*Settings!$C$29)))</f>
        <v/>
      </c>
    </row>
    <row r="23">
      <c r="A23" s="12" t="n"/>
      <c r="B23" s="18" t="n"/>
      <c r="C23" s="18" t="n"/>
      <c r="D23" s="18" t="n"/>
      <c r="E23" s="18" t="n"/>
      <c r="F23" s="18" t="n"/>
      <c r="G23" s="13" t="n"/>
      <c r="H23" s="12" t="n"/>
      <c r="I23" s="19">
        <f>IF(A23="","",IF(IFERROR(INDEX(Teams!$C$5:$C$104,MATCH(A23,Teams!$A$5:$A$104,0))&amp;"","")="","Unmapped",INDEX(Teams!$C$5:$C$104,MATCH(A23,Teams!$A$5:$A$104,0))))</f>
        <v/>
      </c>
      <c r="J23" s="21">
        <f>IF(A23="","",IF(Settings!$C$29="",N(G23),IF(SUM($G$5:$G$64)=0,0,N(G23)/SUM($G$5:$G$64)*Settings!$C$29)))</f>
        <v/>
      </c>
    </row>
    <row r="24">
      <c r="A24" s="12" t="n"/>
      <c r="B24" s="18" t="n"/>
      <c r="C24" s="18" t="n"/>
      <c r="D24" s="18" t="n"/>
      <c r="E24" s="18" t="n"/>
      <c r="F24" s="18" t="n"/>
      <c r="G24" s="13" t="n"/>
      <c r="H24" s="12" t="n"/>
      <c r="I24" s="19">
        <f>IF(A24="","",IF(IFERROR(INDEX(Teams!$C$5:$C$104,MATCH(A24,Teams!$A$5:$A$104,0))&amp;"","")="","Unmapped",INDEX(Teams!$C$5:$C$104,MATCH(A24,Teams!$A$5:$A$104,0))))</f>
        <v/>
      </c>
      <c r="J24" s="21">
        <f>IF(A24="","",IF(Settings!$C$29="",N(G24),IF(SUM($G$5:$G$64)=0,0,N(G24)/SUM($G$5:$G$64)*Settings!$C$29)))</f>
        <v/>
      </c>
    </row>
    <row r="25">
      <c r="A25" s="12" t="n"/>
      <c r="B25" s="18" t="n"/>
      <c r="C25" s="18" t="n"/>
      <c r="D25" s="18" t="n"/>
      <c r="E25" s="18" t="n"/>
      <c r="F25" s="18" t="n"/>
      <c r="G25" s="13" t="n"/>
      <c r="H25" s="12" t="n"/>
      <c r="I25" s="19">
        <f>IF(A25="","",IF(IFERROR(INDEX(Teams!$C$5:$C$104,MATCH(A25,Teams!$A$5:$A$104,0))&amp;"","")="","Unmapped",INDEX(Teams!$C$5:$C$104,MATCH(A25,Teams!$A$5:$A$104,0))))</f>
        <v/>
      </c>
      <c r="J25" s="21">
        <f>IF(A25="","",IF(Settings!$C$29="",N(G25),IF(SUM($G$5:$G$64)=0,0,N(G25)/SUM($G$5:$G$64)*Settings!$C$29)))</f>
        <v/>
      </c>
    </row>
    <row r="26">
      <c r="A26" s="12" t="n"/>
      <c r="B26" s="18" t="n"/>
      <c r="C26" s="18" t="n"/>
      <c r="D26" s="18" t="n"/>
      <c r="E26" s="18" t="n"/>
      <c r="F26" s="18" t="n"/>
      <c r="G26" s="13" t="n"/>
      <c r="H26" s="12" t="n"/>
      <c r="I26" s="19">
        <f>IF(A26="","",IF(IFERROR(INDEX(Teams!$C$5:$C$104,MATCH(A26,Teams!$A$5:$A$104,0))&amp;"","")="","Unmapped",INDEX(Teams!$C$5:$C$104,MATCH(A26,Teams!$A$5:$A$104,0))))</f>
        <v/>
      </c>
      <c r="J26" s="21">
        <f>IF(A26="","",IF(Settings!$C$29="",N(G26),IF(SUM($G$5:$G$64)=0,0,N(G26)/SUM($G$5:$G$64)*Settings!$C$29)))</f>
        <v/>
      </c>
    </row>
    <row r="27">
      <c r="A27" s="12" t="n"/>
      <c r="B27" s="18" t="n"/>
      <c r="C27" s="18" t="n"/>
      <c r="D27" s="18" t="n"/>
      <c r="E27" s="18" t="n"/>
      <c r="F27" s="18" t="n"/>
      <c r="G27" s="13" t="n"/>
      <c r="H27" s="12" t="n"/>
      <c r="I27" s="19">
        <f>IF(A27="","",IF(IFERROR(INDEX(Teams!$C$5:$C$104,MATCH(A27,Teams!$A$5:$A$104,0))&amp;"","")="","Unmapped",INDEX(Teams!$C$5:$C$104,MATCH(A27,Teams!$A$5:$A$104,0))))</f>
        <v/>
      </c>
      <c r="J27" s="21">
        <f>IF(A27="","",IF(Settings!$C$29="",N(G27),IF(SUM($G$5:$G$64)=0,0,N(G27)/SUM($G$5:$G$64)*Settings!$C$29)))</f>
        <v/>
      </c>
    </row>
    <row r="28">
      <c r="A28" s="12" t="n"/>
      <c r="B28" s="18" t="n"/>
      <c r="C28" s="18" t="n"/>
      <c r="D28" s="18" t="n"/>
      <c r="E28" s="18" t="n"/>
      <c r="F28" s="18" t="n"/>
      <c r="G28" s="13" t="n"/>
      <c r="H28" s="12" t="n"/>
      <c r="I28" s="19">
        <f>IF(A28="","",IF(IFERROR(INDEX(Teams!$C$5:$C$104,MATCH(A28,Teams!$A$5:$A$104,0))&amp;"","")="","Unmapped",INDEX(Teams!$C$5:$C$104,MATCH(A28,Teams!$A$5:$A$104,0))))</f>
        <v/>
      </c>
      <c r="J28" s="21">
        <f>IF(A28="","",IF(Settings!$C$29="",N(G28),IF(SUM($G$5:$G$64)=0,0,N(G28)/SUM($G$5:$G$64)*Settings!$C$29)))</f>
        <v/>
      </c>
    </row>
    <row r="29">
      <c r="A29" s="12" t="n"/>
      <c r="B29" s="18" t="n"/>
      <c r="C29" s="18" t="n"/>
      <c r="D29" s="18" t="n"/>
      <c r="E29" s="18" t="n"/>
      <c r="F29" s="18" t="n"/>
      <c r="G29" s="13" t="n"/>
      <c r="H29" s="12" t="n"/>
      <c r="I29" s="19">
        <f>IF(A29="","",IF(IFERROR(INDEX(Teams!$C$5:$C$104,MATCH(A29,Teams!$A$5:$A$104,0))&amp;"","")="","Unmapped",INDEX(Teams!$C$5:$C$104,MATCH(A29,Teams!$A$5:$A$104,0))))</f>
        <v/>
      </c>
      <c r="J29" s="21">
        <f>IF(A29="","",IF(Settings!$C$29="",N(G29),IF(SUM($G$5:$G$64)=0,0,N(G29)/SUM($G$5:$G$64)*Settings!$C$29)))</f>
        <v/>
      </c>
    </row>
    <row r="30">
      <c r="A30" s="12" t="n"/>
      <c r="B30" s="18" t="n"/>
      <c r="C30" s="18" t="n"/>
      <c r="D30" s="18" t="n"/>
      <c r="E30" s="18" t="n"/>
      <c r="F30" s="18" t="n"/>
      <c r="G30" s="13" t="n"/>
      <c r="H30" s="12" t="n"/>
      <c r="I30" s="19">
        <f>IF(A30="","",IF(IFERROR(INDEX(Teams!$C$5:$C$104,MATCH(A30,Teams!$A$5:$A$104,0))&amp;"","")="","Unmapped",INDEX(Teams!$C$5:$C$104,MATCH(A30,Teams!$A$5:$A$104,0))))</f>
        <v/>
      </c>
      <c r="J30" s="21">
        <f>IF(A30="","",IF(Settings!$C$29="",N(G30),IF(SUM($G$5:$G$64)=0,0,N(G30)/SUM($G$5:$G$64)*Settings!$C$29)))</f>
        <v/>
      </c>
    </row>
    <row r="31">
      <c r="A31" s="12" t="n"/>
      <c r="B31" s="18" t="n"/>
      <c r="C31" s="18" t="n"/>
      <c r="D31" s="18" t="n"/>
      <c r="E31" s="18" t="n"/>
      <c r="F31" s="18" t="n"/>
      <c r="G31" s="13" t="n"/>
      <c r="H31" s="12" t="n"/>
      <c r="I31" s="19">
        <f>IF(A31="","",IF(IFERROR(INDEX(Teams!$C$5:$C$104,MATCH(A31,Teams!$A$5:$A$104,0))&amp;"","")="","Unmapped",INDEX(Teams!$C$5:$C$104,MATCH(A31,Teams!$A$5:$A$104,0))))</f>
        <v/>
      </c>
      <c r="J31" s="21">
        <f>IF(A31="","",IF(Settings!$C$29="",N(G31),IF(SUM($G$5:$G$64)=0,0,N(G31)/SUM($G$5:$G$64)*Settings!$C$29)))</f>
        <v/>
      </c>
    </row>
    <row r="32">
      <c r="A32" s="12" t="n"/>
      <c r="B32" s="18" t="n"/>
      <c r="C32" s="18" t="n"/>
      <c r="D32" s="18" t="n"/>
      <c r="E32" s="18" t="n"/>
      <c r="F32" s="18" t="n"/>
      <c r="G32" s="13" t="n"/>
      <c r="H32" s="12" t="n"/>
      <c r="I32" s="19">
        <f>IF(A32="","",IF(IFERROR(INDEX(Teams!$C$5:$C$104,MATCH(A32,Teams!$A$5:$A$104,0))&amp;"","")="","Unmapped",INDEX(Teams!$C$5:$C$104,MATCH(A32,Teams!$A$5:$A$104,0))))</f>
        <v/>
      </c>
      <c r="J32" s="21">
        <f>IF(A32="","",IF(Settings!$C$29="",N(G32),IF(SUM($G$5:$G$64)=0,0,N(G32)/SUM($G$5:$G$64)*Settings!$C$29)))</f>
        <v/>
      </c>
    </row>
    <row r="33">
      <c r="A33" s="12" t="n"/>
      <c r="B33" s="18" t="n"/>
      <c r="C33" s="18" t="n"/>
      <c r="D33" s="18" t="n"/>
      <c r="E33" s="18" t="n"/>
      <c r="F33" s="18" t="n"/>
      <c r="G33" s="13" t="n"/>
      <c r="H33" s="12" t="n"/>
      <c r="I33" s="19">
        <f>IF(A33="","",IF(IFERROR(INDEX(Teams!$C$5:$C$104,MATCH(A33,Teams!$A$5:$A$104,0))&amp;"","")="","Unmapped",INDEX(Teams!$C$5:$C$104,MATCH(A33,Teams!$A$5:$A$104,0))))</f>
        <v/>
      </c>
      <c r="J33" s="21">
        <f>IF(A33="","",IF(Settings!$C$29="",N(G33),IF(SUM($G$5:$G$64)=0,0,N(G33)/SUM($G$5:$G$64)*Settings!$C$29)))</f>
        <v/>
      </c>
    </row>
    <row r="34">
      <c r="A34" s="12" t="n"/>
      <c r="B34" s="18" t="n"/>
      <c r="C34" s="18" t="n"/>
      <c r="D34" s="18" t="n"/>
      <c r="E34" s="18" t="n"/>
      <c r="F34" s="18" t="n"/>
      <c r="G34" s="13" t="n"/>
      <c r="H34" s="12" t="n"/>
      <c r="I34" s="19">
        <f>IF(A34="","",IF(IFERROR(INDEX(Teams!$C$5:$C$104,MATCH(A34,Teams!$A$5:$A$104,0))&amp;"","")="","Unmapped",INDEX(Teams!$C$5:$C$104,MATCH(A34,Teams!$A$5:$A$104,0))))</f>
        <v/>
      </c>
      <c r="J34" s="21">
        <f>IF(A34="","",IF(Settings!$C$29="",N(G34),IF(SUM($G$5:$G$64)=0,0,N(G34)/SUM($G$5:$G$64)*Settings!$C$29)))</f>
        <v/>
      </c>
    </row>
    <row r="35">
      <c r="A35" s="12" t="n"/>
      <c r="B35" s="18" t="n"/>
      <c r="C35" s="18" t="n"/>
      <c r="D35" s="18" t="n"/>
      <c r="E35" s="18" t="n"/>
      <c r="F35" s="18" t="n"/>
      <c r="G35" s="13" t="n"/>
      <c r="H35" s="12" t="n"/>
      <c r="I35" s="19">
        <f>IF(A35="","",IF(IFERROR(INDEX(Teams!$C$5:$C$104,MATCH(A35,Teams!$A$5:$A$104,0))&amp;"","")="","Unmapped",INDEX(Teams!$C$5:$C$104,MATCH(A35,Teams!$A$5:$A$104,0))))</f>
        <v/>
      </c>
      <c r="J35" s="21">
        <f>IF(A35="","",IF(Settings!$C$29="",N(G35),IF(SUM($G$5:$G$64)=0,0,N(G35)/SUM($G$5:$G$64)*Settings!$C$29)))</f>
        <v/>
      </c>
    </row>
    <row r="36">
      <c r="A36" s="12" t="n"/>
      <c r="B36" s="18" t="n"/>
      <c r="C36" s="18" t="n"/>
      <c r="D36" s="18" t="n"/>
      <c r="E36" s="18" t="n"/>
      <c r="F36" s="18" t="n"/>
      <c r="G36" s="13" t="n"/>
      <c r="H36" s="12" t="n"/>
      <c r="I36" s="19">
        <f>IF(A36="","",IF(IFERROR(INDEX(Teams!$C$5:$C$104,MATCH(A36,Teams!$A$5:$A$104,0))&amp;"","")="","Unmapped",INDEX(Teams!$C$5:$C$104,MATCH(A36,Teams!$A$5:$A$104,0))))</f>
        <v/>
      </c>
      <c r="J36" s="21">
        <f>IF(A36="","",IF(Settings!$C$29="",N(G36),IF(SUM($G$5:$G$64)=0,0,N(G36)/SUM($G$5:$G$64)*Settings!$C$29)))</f>
        <v/>
      </c>
    </row>
    <row r="37">
      <c r="A37" s="12" t="n"/>
      <c r="B37" s="18" t="n"/>
      <c r="C37" s="18" t="n"/>
      <c r="D37" s="18" t="n"/>
      <c r="E37" s="18" t="n"/>
      <c r="F37" s="18" t="n"/>
      <c r="G37" s="13" t="n"/>
      <c r="H37" s="12" t="n"/>
      <c r="I37" s="19">
        <f>IF(A37="","",IF(IFERROR(INDEX(Teams!$C$5:$C$104,MATCH(A37,Teams!$A$5:$A$104,0))&amp;"","")="","Unmapped",INDEX(Teams!$C$5:$C$104,MATCH(A37,Teams!$A$5:$A$104,0))))</f>
        <v/>
      </c>
      <c r="J37" s="21">
        <f>IF(A37="","",IF(Settings!$C$29="",N(G37),IF(SUM($G$5:$G$64)=0,0,N(G37)/SUM($G$5:$G$64)*Settings!$C$29)))</f>
        <v/>
      </c>
    </row>
    <row r="38">
      <c r="A38" s="12" t="n"/>
      <c r="B38" s="18" t="n"/>
      <c r="C38" s="18" t="n"/>
      <c r="D38" s="18" t="n"/>
      <c r="E38" s="18" t="n"/>
      <c r="F38" s="18" t="n"/>
      <c r="G38" s="13" t="n"/>
      <c r="H38" s="12" t="n"/>
      <c r="I38" s="19">
        <f>IF(A38="","",IF(IFERROR(INDEX(Teams!$C$5:$C$104,MATCH(A38,Teams!$A$5:$A$104,0))&amp;"","")="","Unmapped",INDEX(Teams!$C$5:$C$104,MATCH(A38,Teams!$A$5:$A$104,0))))</f>
        <v/>
      </c>
      <c r="J38" s="21">
        <f>IF(A38="","",IF(Settings!$C$29="",N(G38),IF(SUM($G$5:$G$64)=0,0,N(G38)/SUM($G$5:$G$64)*Settings!$C$29)))</f>
        <v/>
      </c>
    </row>
    <row r="39">
      <c r="A39" s="12" t="n"/>
      <c r="B39" s="18" t="n"/>
      <c r="C39" s="18" t="n"/>
      <c r="D39" s="18" t="n"/>
      <c r="E39" s="18" t="n"/>
      <c r="F39" s="18" t="n"/>
      <c r="G39" s="13" t="n"/>
      <c r="H39" s="12" t="n"/>
      <c r="I39" s="19">
        <f>IF(A39="","",IF(IFERROR(INDEX(Teams!$C$5:$C$104,MATCH(A39,Teams!$A$5:$A$104,0))&amp;"","")="","Unmapped",INDEX(Teams!$C$5:$C$104,MATCH(A39,Teams!$A$5:$A$104,0))))</f>
        <v/>
      </c>
      <c r="J39" s="21">
        <f>IF(A39="","",IF(Settings!$C$29="",N(G39),IF(SUM($G$5:$G$64)=0,0,N(G39)/SUM($G$5:$G$64)*Settings!$C$29)))</f>
        <v/>
      </c>
    </row>
    <row r="40">
      <c r="A40" s="12" t="n"/>
      <c r="B40" s="18" t="n"/>
      <c r="C40" s="18" t="n"/>
      <c r="D40" s="18" t="n"/>
      <c r="E40" s="18" t="n"/>
      <c r="F40" s="18" t="n"/>
      <c r="G40" s="13" t="n"/>
      <c r="H40" s="12" t="n"/>
      <c r="I40" s="19">
        <f>IF(A40="","",IF(IFERROR(INDEX(Teams!$C$5:$C$104,MATCH(A40,Teams!$A$5:$A$104,0))&amp;"","")="","Unmapped",INDEX(Teams!$C$5:$C$104,MATCH(A40,Teams!$A$5:$A$104,0))))</f>
        <v/>
      </c>
      <c r="J40" s="21">
        <f>IF(A40="","",IF(Settings!$C$29="",N(G40),IF(SUM($G$5:$G$64)=0,0,N(G40)/SUM($G$5:$G$64)*Settings!$C$29)))</f>
        <v/>
      </c>
    </row>
    <row r="41">
      <c r="A41" s="12" t="n"/>
      <c r="B41" s="18" t="n"/>
      <c r="C41" s="18" t="n"/>
      <c r="D41" s="18" t="n"/>
      <c r="E41" s="18" t="n"/>
      <c r="F41" s="18" t="n"/>
      <c r="G41" s="13" t="n"/>
      <c r="H41" s="12" t="n"/>
      <c r="I41" s="19">
        <f>IF(A41="","",IF(IFERROR(INDEX(Teams!$C$5:$C$104,MATCH(A41,Teams!$A$5:$A$104,0))&amp;"","")="","Unmapped",INDEX(Teams!$C$5:$C$104,MATCH(A41,Teams!$A$5:$A$104,0))))</f>
        <v/>
      </c>
      <c r="J41" s="21">
        <f>IF(A41="","",IF(Settings!$C$29="",N(G41),IF(SUM($G$5:$G$64)=0,0,N(G41)/SUM($G$5:$G$64)*Settings!$C$29)))</f>
        <v/>
      </c>
    </row>
    <row r="42">
      <c r="A42" s="12" t="n"/>
      <c r="B42" s="18" t="n"/>
      <c r="C42" s="18" t="n"/>
      <c r="D42" s="18" t="n"/>
      <c r="E42" s="18" t="n"/>
      <c r="F42" s="18" t="n"/>
      <c r="G42" s="13" t="n"/>
      <c r="H42" s="12" t="n"/>
      <c r="I42" s="19">
        <f>IF(A42="","",IF(IFERROR(INDEX(Teams!$C$5:$C$104,MATCH(A42,Teams!$A$5:$A$104,0))&amp;"","")="","Unmapped",INDEX(Teams!$C$5:$C$104,MATCH(A42,Teams!$A$5:$A$104,0))))</f>
        <v/>
      </c>
      <c r="J42" s="21">
        <f>IF(A42="","",IF(Settings!$C$29="",N(G42),IF(SUM($G$5:$G$64)=0,0,N(G42)/SUM($G$5:$G$64)*Settings!$C$29)))</f>
        <v/>
      </c>
    </row>
    <row r="43">
      <c r="A43" s="12" t="n"/>
      <c r="B43" s="18" t="n"/>
      <c r="C43" s="18" t="n"/>
      <c r="D43" s="18" t="n"/>
      <c r="E43" s="18" t="n"/>
      <c r="F43" s="18" t="n"/>
      <c r="G43" s="13" t="n"/>
      <c r="H43" s="12" t="n"/>
      <c r="I43" s="19">
        <f>IF(A43="","",IF(IFERROR(INDEX(Teams!$C$5:$C$104,MATCH(A43,Teams!$A$5:$A$104,0))&amp;"","")="","Unmapped",INDEX(Teams!$C$5:$C$104,MATCH(A43,Teams!$A$5:$A$104,0))))</f>
        <v/>
      </c>
      <c r="J43" s="21">
        <f>IF(A43="","",IF(Settings!$C$29="",N(G43),IF(SUM($G$5:$G$64)=0,0,N(G43)/SUM($G$5:$G$64)*Settings!$C$29)))</f>
        <v/>
      </c>
    </row>
    <row r="44">
      <c r="A44" s="12" t="n"/>
      <c r="B44" s="18" t="n"/>
      <c r="C44" s="18" t="n"/>
      <c r="D44" s="18" t="n"/>
      <c r="E44" s="18" t="n"/>
      <c r="F44" s="18" t="n"/>
      <c r="G44" s="13" t="n"/>
      <c r="H44" s="12" t="n"/>
      <c r="I44" s="19">
        <f>IF(A44="","",IF(IFERROR(INDEX(Teams!$C$5:$C$104,MATCH(A44,Teams!$A$5:$A$104,0))&amp;"","")="","Unmapped",INDEX(Teams!$C$5:$C$104,MATCH(A44,Teams!$A$5:$A$104,0))))</f>
        <v/>
      </c>
      <c r="J44" s="21">
        <f>IF(A44="","",IF(Settings!$C$29="",N(G44),IF(SUM($G$5:$G$64)=0,0,N(G44)/SUM($G$5:$G$64)*Settings!$C$29)))</f>
        <v/>
      </c>
    </row>
    <row r="45">
      <c r="A45" s="12" t="n"/>
      <c r="B45" s="18" t="n"/>
      <c r="C45" s="18" t="n"/>
      <c r="D45" s="18" t="n"/>
      <c r="E45" s="18" t="n"/>
      <c r="F45" s="18" t="n"/>
      <c r="G45" s="13" t="n"/>
      <c r="H45" s="12" t="n"/>
      <c r="I45" s="19">
        <f>IF(A45="","",IF(IFERROR(INDEX(Teams!$C$5:$C$104,MATCH(A45,Teams!$A$5:$A$104,0))&amp;"","")="","Unmapped",INDEX(Teams!$C$5:$C$104,MATCH(A45,Teams!$A$5:$A$104,0))))</f>
        <v/>
      </c>
      <c r="J45" s="21">
        <f>IF(A45="","",IF(Settings!$C$29="",N(G45),IF(SUM($G$5:$G$64)=0,0,N(G45)/SUM($G$5:$G$64)*Settings!$C$29)))</f>
        <v/>
      </c>
    </row>
    <row r="46">
      <c r="A46" s="12" t="n"/>
      <c r="B46" s="18" t="n"/>
      <c r="C46" s="18" t="n"/>
      <c r="D46" s="18" t="n"/>
      <c r="E46" s="18" t="n"/>
      <c r="F46" s="18" t="n"/>
      <c r="G46" s="13" t="n"/>
      <c r="H46" s="12" t="n"/>
      <c r="I46" s="19">
        <f>IF(A46="","",IF(IFERROR(INDEX(Teams!$C$5:$C$104,MATCH(A46,Teams!$A$5:$A$104,0))&amp;"","")="","Unmapped",INDEX(Teams!$C$5:$C$104,MATCH(A46,Teams!$A$5:$A$104,0))))</f>
        <v/>
      </c>
      <c r="J46" s="21">
        <f>IF(A46="","",IF(Settings!$C$29="",N(G46),IF(SUM($G$5:$G$64)=0,0,N(G46)/SUM($G$5:$G$64)*Settings!$C$29)))</f>
        <v/>
      </c>
    </row>
    <row r="47">
      <c r="A47" s="12" t="n"/>
      <c r="B47" s="18" t="n"/>
      <c r="C47" s="18" t="n"/>
      <c r="D47" s="18" t="n"/>
      <c r="E47" s="18" t="n"/>
      <c r="F47" s="18" t="n"/>
      <c r="G47" s="13" t="n"/>
      <c r="H47" s="12" t="n"/>
      <c r="I47" s="19">
        <f>IF(A47="","",IF(IFERROR(INDEX(Teams!$C$5:$C$104,MATCH(A47,Teams!$A$5:$A$104,0))&amp;"","")="","Unmapped",INDEX(Teams!$C$5:$C$104,MATCH(A47,Teams!$A$5:$A$104,0))))</f>
        <v/>
      </c>
      <c r="J47" s="21">
        <f>IF(A47="","",IF(Settings!$C$29="",N(G47),IF(SUM($G$5:$G$64)=0,0,N(G47)/SUM($G$5:$G$64)*Settings!$C$29)))</f>
        <v/>
      </c>
    </row>
    <row r="48">
      <c r="A48" s="12" t="n"/>
      <c r="B48" s="18" t="n"/>
      <c r="C48" s="18" t="n"/>
      <c r="D48" s="18" t="n"/>
      <c r="E48" s="18" t="n"/>
      <c r="F48" s="18" t="n"/>
      <c r="G48" s="13" t="n"/>
      <c r="H48" s="12" t="n"/>
      <c r="I48" s="19">
        <f>IF(A48="","",IF(IFERROR(INDEX(Teams!$C$5:$C$104,MATCH(A48,Teams!$A$5:$A$104,0))&amp;"","")="","Unmapped",INDEX(Teams!$C$5:$C$104,MATCH(A48,Teams!$A$5:$A$104,0))))</f>
        <v/>
      </c>
      <c r="J48" s="21">
        <f>IF(A48="","",IF(Settings!$C$29="",N(G48),IF(SUM($G$5:$G$64)=0,0,N(G48)/SUM($G$5:$G$64)*Settings!$C$29)))</f>
        <v/>
      </c>
    </row>
    <row r="49">
      <c r="A49" s="12" t="n"/>
      <c r="B49" s="18" t="n"/>
      <c r="C49" s="18" t="n"/>
      <c r="D49" s="18" t="n"/>
      <c r="E49" s="18" t="n"/>
      <c r="F49" s="18" t="n"/>
      <c r="G49" s="13" t="n"/>
      <c r="H49" s="12" t="n"/>
      <c r="I49" s="19">
        <f>IF(A49="","",IF(IFERROR(INDEX(Teams!$C$5:$C$104,MATCH(A49,Teams!$A$5:$A$104,0))&amp;"","")="","Unmapped",INDEX(Teams!$C$5:$C$104,MATCH(A49,Teams!$A$5:$A$104,0))))</f>
        <v/>
      </c>
      <c r="J49" s="21">
        <f>IF(A49="","",IF(Settings!$C$29="",N(G49),IF(SUM($G$5:$G$64)=0,0,N(G49)/SUM($G$5:$G$64)*Settings!$C$29)))</f>
        <v/>
      </c>
    </row>
    <row r="50">
      <c r="A50" s="12" t="n"/>
      <c r="B50" s="18" t="n"/>
      <c r="C50" s="18" t="n"/>
      <c r="D50" s="18" t="n"/>
      <c r="E50" s="18" t="n"/>
      <c r="F50" s="18" t="n"/>
      <c r="G50" s="13" t="n"/>
      <c r="H50" s="12" t="n"/>
      <c r="I50" s="19">
        <f>IF(A50="","",IF(IFERROR(INDEX(Teams!$C$5:$C$104,MATCH(A50,Teams!$A$5:$A$104,0))&amp;"","")="","Unmapped",INDEX(Teams!$C$5:$C$104,MATCH(A50,Teams!$A$5:$A$104,0))))</f>
        <v/>
      </c>
      <c r="J50" s="21">
        <f>IF(A50="","",IF(Settings!$C$29="",N(G50),IF(SUM($G$5:$G$64)=0,0,N(G50)/SUM($G$5:$G$64)*Settings!$C$29)))</f>
        <v/>
      </c>
    </row>
    <row r="51">
      <c r="A51" s="12" t="n"/>
      <c r="B51" s="18" t="n"/>
      <c r="C51" s="18" t="n"/>
      <c r="D51" s="18" t="n"/>
      <c r="E51" s="18" t="n"/>
      <c r="F51" s="18" t="n"/>
      <c r="G51" s="13" t="n"/>
      <c r="H51" s="12" t="n"/>
      <c r="I51" s="19">
        <f>IF(A51="","",IF(IFERROR(INDEX(Teams!$C$5:$C$104,MATCH(A51,Teams!$A$5:$A$104,0))&amp;"","")="","Unmapped",INDEX(Teams!$C$5:$C$104,MATCH(A51,Teams!$A$5:$A$104,0))))</f>
        <v/>
      </c>
      <c r="J51" s="21">
        <f>IF(A51="","",IF(Settings!$C$29="",N(G51),IF(SUM($G$5:$G$64)=0,0,N(G51)/SUM($G$5:$G$64)*Settings!$C$29)))</f>
        <v/>
      </c>
    </row>
    <row r="52">
      <c r="A52" s="12" t="n"/>
      <c r="B52" s="18" t="n"/>
      <c r="C52" s="18" t="n"/>
      <c r="D52" s="18" t="n"/>
      <c r="E52" s="18" t="n"/>
      <c r="F52" s="18" t="n"/>
      <c r="G52" s="13" t="n"/>
      <c r="H52" s="12" t="n"/>
      <c r="I52" s="19">
        <f>IF(A52="","",IF(IFERROR(INDEX(Teams!$C$5:$C$104,MATCH(A52,Teams!$A$5:$A$104,0))&amp;"","")="","Unmapped",INDEX(Teams!$C$5:$C$104,MATCH(A52,Teams!$A$5:$A$104,0))))</f>
        <v/>
      </c>
      <c r="J52" s="21">
        <f>IF(A52="","",IF(Settings!$C$29="",N(G52),IF(SUM($G$5:$G$64)=0,0,N(G52)/SUM($G$5:$G$64)*Settings!$C$29)))</f>
        <v/>
      </c>
    </row>
    <row r="53">
      <c r="A53" s="12" t="n"/>
      <c r="B53" s="18" t="n"/>
      <c r="C53" s="18" t="n"/>
      <c r="D53" s="18" t="n"/>
      <c r="E53" s="18" t="n"/>
      <c r="F53" s="18" t="n"/>
      <c r="G53" s="13" t="n"/>
      <c r="H53" s="12" t="n"/>
      <c r="I53" s="19">
        <f>IF(A53="","",IF(IFERROR(INDEX(Teams!$C$5:$C$104,MATCH(A53,Teams!$A$5:$A$104,0))&amp;"","")="","Unmapped",INDEX(Teams!$C$5:$C$104,MATCH(A53,Teams!$A$5:$A$104,0))))</f>
        <v/>
      </c>
      <c r="J53" s="21">
        <f>IF(A53="","",IF(Settings!$C$29="",N(G53),IF(SUM($G$5:$G$64)=0,0,N(G53)/SUM($G$5:$G$64)*Settings!$C$29)))</f>
        <v/>
      </c>
    </row>
    <row r="54">
      <c r="A54" s="12" t="n"/>
      <c r="B54" s="18" t="n"/>
      <c r="C54" s="18" t="n"/>
      <c r="D54" s="18" t="n"/>
      <c r="E54" s="18" t="n"/>
      <c r="F54" s="18" t="n"/>
      <c r="G54" s="13" t="n"/>
      <c r="H54" s="12" t="n"/>
      <c r="I54" s="19">
        <f>IF(A54="","",IF(IFERROR(INDEX(Teams!$C$5:$C$104,MATCH(A54,Teams!$A$5:$A$104,0))&amp;"","")="","Unmapped",INDEX(Teams!$C$5:$C$104,MATCH(A54,Teams!$A$5:$A$104,0))))</f>
        <v/>
      </c>
      <c r="J54" s="21">
        <f>IF(A54="","",IF(Settings!$C$29="",N(G54),IF(SUM($G$5:$G$64)=0,0,N(G54)/SUM($G$5:$G$64)*Settings!$C$29)))</f>
        <v/>
      </c>
    </row>
    <row r="55">
      <c r="A55" s="12" t="n"/>
      <c r="B55" s="18" t="n"/>
      <c r="C55" s="18" t="n"/>
      <c r="D55" s="18" t="n"/>
      <c r="E55" s="18" t="n"/>
      <c r="F55" s="18" t="n"/>
      <c r="G55" s="13" t="n"/>
      <c r="H55" s="12" t="n"/>
      <c r="I55" s="19">
        <f>IF(A55="","",IF(IFERROR(INDEX(Teams!$C$5:$C$104,MATCH(A55,Teams!$A$5:$A$104,0))&amp;"","")="","Unmapped",INDEX(Teams!$C$5:$C$104,MATCH(A55,Teams!$A$5:$A$104,0))))</f>
        <v/>
      </c>
      <c r="J55" s="21">
        <f>IF(A55="","",IF(Settings!$C$29="",N(G55),IF(SUM($G$5:$G$64)=0,0,N(G55)/SUM($G$5:$G$64)*Settings!$C$29)))</f>
        <v/>
      </c>
    </row>
    <row r="56">
      <c r="A56" s="12" t="n"/>
      <c r="B56" s="18" t="n"/>
      <c r="C56" s="18" t="n"/>
      <c r="D56" s="18" t="n"/>
      <c r="E56" s="18" t="n"/>
      <c r="F56" s="18" t="n"/>
      <c r="G56" s="13" t="n"/>
      <c r="H56" s="12" t="n"/>
      <c r="I56" s="19">
        <f>IF(A56="","",IF(IFERROR(INDEX(Teams!$C$5:$C$104,MATCH(A56,Teams!$A$5:$A$104,0))&amp;"","")="","Unmapped",INDEX(Teams!$C$5:$C$104,MATCH(A56,Teams!$A$5:$A$104,0))))</f>
        <v/>
      </c>
      <c r="J56" s="21">
        <f>IF(A56="","",IF(Settings!$C$29="",N(G56),IF(SUM($G$5:$G$64)=0,0,N(G56)/SUM($G$5:$G$64)*Settings!$C$29)))</f>
        <v/>
      </c>
    </row>
    <row r="57">
      <c r="A57" s="12" t="n"/>
      <c r="B57" s="18" t="n"/>
      <c r="C57" s="18" t="n"/>
      <c r="D57" s="18" t="n"/>
      <c r="E57" s="18" t="n"/>
      <c r="F57" s="18" t="n"/>
      <c r="G57" s="13" t="n"/>
      <c r="H57" s="12" t="n"/>
      <c r="I57" s="19">
        <f>IF(A57="","",IF(IFERROR(INDEX(Teams!$C$5:$C$104,MATCH(A57,Teams!$A$5:$A$104,0))&amp;"","")="","Unmapped",INDEX(Teams!$C$5:$C$104,MATCH(A57,Teams!$A$5:$A$104,0))))</f>
        <v/>
      </c>
      <c r="J57" s="21">
        <f>IF(A57="","",IF(Settings!$C$29="",N(G57),IF(SUM($G$5:$G$64)=0,0,N(G57)/SUM($G$5:$G$64)*Settings!$C$29)))</f>
        <v/>
      </c>
    </row>
    <row r="58">
      <c r="A58" s="12" t="n"/>
      <c r="B58" s="18" t="n"/>
      <c r="C58" s="18" t="n"/>
      <c r="D58" s="18" t="n"/>
      <c r="E58" s="18" t="n"/>
      <c r="F58" s="18" t="n"/>
      <c r="G58" s="13" t="n"/>
      <c r="H58" s="12" t="n"/>
      <c r="I58" s="19">
        <f>IF(A58="","",IF(IFERROR(INDEX(Teams!$C$5:$C$104,MATCH(A58,Teams!$A$5:$A$104,0))&amp;"","")="","Unmapped",INDEX(Teams!$C$5:$C$104,MATCH(A58,Teams!$A$5:$A$104,0))))</f>
        <v/>
      </c>
      <c r="J58" s="21">
        <f>IF(A58="","",IF(Settings!$C$29="",N(G58),IF(SUM($G$5:$G$64)=0,0,N(G58)/SUM($G$5:$G$64)*Settings!$C$29)))</f>
        <v/>
      </c>
    </row>
    <row r="59">
      <c r="A59" s="12" t="n"/>
      <c r="B59" s="18" t="n"/>
      <c r="C59" s="18" t="n"/>
      <c r="D59" s="18" t="n"/>
      <c r="E59" s="18" t="n"/>
      <c r="F59" s="18" t="n"/>
      <c r="G59" s="13" t="n"/>
      <c r="H59" s="12" t="n"/>
      <c r="I59" s="19">
        <f>IF(A59="","",IF(IFERROR(INDEX(Teams!$C$5:$C$104,MATCH(A59,Teams!$A$5:$A$104,0))&amp;"","")="","Unmapped",INDEX(Teams!$C$5:$C$104,MATCH(A59,Teams!$A$5:$A$104,0))))</f>
        <v/>
      </c>
      <c r="J59" s="21">
        <f>IF(A59="","",IF(Settings!$C$29="",N(G59),IF(SUM($G$5:$G$64)=0,0,N(G59)/SUM($G$5:$G$64)*Settings!$C$29)))</f>
        <v/>
      </c>
    </row>
    <row r="60">
      <c r="A60" s="12" t="n"/>
      <c r="B60" s="18" t="n"/>
      <c r="C60" s="18" t="n"/>
      <c r="D60" s="18" t="n"/>
      <c r="E60" s="18" t="n"/>
      <c r="F60" s="18" t="n"/>
      <c r="G60" s="13" t="n"/>
      <c r="H60" s="12" t="n"/>
      <c r="I60" s="19">
        <f>IF(A60="","",IF(IFERROR(INDEX(Teams!$C$5:$C$104,MATCH(A60,Teams!$A$5:$A$104,0))&amp;"","")="","Unmapped",INDEX(Teams!$C$5:$C$104,MATCH(A60,Teams!$A$5:$A$104,0))))</f>
        <v/>
      </c>
      <c r="J60" s="21">
        <f>IF(A60="","",IF(Settings!$C$29="",N(G60),IF(SUM($G$5:$G$64)=0,0,N(G60)/SUM($G$5:$G$64)*Settings!$C$29)))</f>
        <v/>
      </c>
    </row>
    <row r="61">
      <c r="A61" s="12" t="n"/>
      <c r="B61" s="18" t="n"/>
      <c r="C61" s="18" t="n"/>
      <c r="D61" s="18" t="n"/>
      <c r="E61" s="18" t="n"/>
      <c r="F61" s="18" t="n"/>
      <c r="G61" s="13" t="n"/>
      <c r="H61" s="12" t="n"/>
      <c r="I61" s="19">
        <f>IF(A61="","",IF(IFERROR(INDEX(Teams!$C$5:$C$104,MATCH(A61,Teams!$A$5:$A$104,0))&amp;"","")="","Unmapped",INDEX(Teams!$C$5:$C$104,MATCH(A61,Teams!$A$5:$A$104,0))))</f>
        <v/>
      </c>
      <c r="J61" s="21">
        <f>IF(A61="","",IF(Settings!$C$29="",N(G61),IF(SUM($G$5:$G$64)=0,0,N(G61)/SUM($G$5:$G$64)*Settings!$C$29)))</f>
        <v/>
      </c>
    </row>
    <row r="62">
      <c r="A62" s="12" t="n"/>
      <c r="B62" s="18" t="n"/>
      <c r="C62" s="18" t="n"/>
      <c r="D62" s="18" t="n"/>
      <c r="E62" s="18" t="n"/>
      <c r="F62" s="18" t="n"/>
      <c r="G62" s="13" t="n"/>
      <c r="H62" s="12" t="n"/>
      <c r="I62" s="19">
        <f>IF(A62="","",IF(IFERROR(INDEX(Teams!$C$5:$C$104,MATCH(A62,Teams!$A$5:$A$104,0))&amp;"","")="","Unmapped",INDEX(Teams!$C$5:$C$104,MATCH(A62,Teams!$A$5:$A$104,0))))</f>
        <v/>
      </c>
      <c r="J62" s="21">
        <f>IF(A62="","",IF(Settings!$C$29="",N(G62),IF(SUM($G$5:$G$64)=0,0,N(G62)/SUM($G$5:$G$64)*Settings!$C$29)))</f>
        <v/>
      </c>
    </row>
    <row r="63">
      <c r="A63" s="12" t="n"/>
      <c r="B63" s="18" t="n"/>
      <c r="C63" s="18" t="n"/>
      <c r="D63" s="18" t="n"/>
      <c r="E63" s="18" t="n"/>
      <c r="F63" s="18" t="n"/>
      <c r="G63" s="13" t="n"/>
      <c r="H63" s="12" t="n"/>
      <c r="I63" s="19">
        <f>IF(A63="","",IF(IFERROR(INDEX(Teams!$C$5:$C$104,MATCH(A63,Teams!$A$5:$A$104,0))&amp;"","")="","Unmapped",INDEX(Teams!$C$5:$C$104,MATCH(A63,Teams!$A$5:$A$104,0))))</f>
        <v/>
      </c>
      <c r="J63" s="21">
        <f>IF(A63="","",IF(Settings!$C$29="",N(G63),IF(SUM($G$5:$G$64)=0,0,N(G63)/SUM($G$5:$G$64)*Settings!$C$29)))</f>
        <v/>
      </c>
    </row>
    <row r="64">
      <c r="A64" s="12" t="n"/>
      <c r="B64" s="18" t="n"/>
      <c r="C64" s="18" t="n"/>
      <c r="D64" s="18" t="n"/>
      <c r="E64" s="18" t="n"/>
      <c r="F64" s="18" t="n"/>
      <c r="G64" s="13" t="n"/>
      <c r="H64" s="12" t="n"/>
      <c r="I64" s="19">
        <f>IF(A64="","",IF(IFERROR(INDEX(Teams!$C$5:$C$104,MATCH(A64,Teams!$A$5:$A$104,0))&amp;"","")="","Unmapped",INDEX(Teams!$C$5:$C$104,MATCH(A64,Teams!$A$5:$A$104,0))))</f>
        <v/>
      </c>
      <c r="J64" s="21">
        <f>IF(A64="","",IF(Settings!$C$29="",N(G64),IF(SUM($G$5:$G$64)=0,0,N(G64)/SUM($G$5:$G$64)*Settings!$C$29)))</f>
        <v/>
      </c>
    </row>
    <row r="66">
      <c r="A66" s="10" t="inlineStr">
        <is>
          <t>Total</t>
        </is>
      </c>
      <c r="G66" s="22">
        <f>SUM(G5:G64)</f>
        <v/>
      </c>
      <c r="J66" s="22">
        <f>SUM(J5:J64)</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46"/>
  <sheetViews>
    <sheetView showGridLines="1"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28" customWidth="1" min="2" max="2"/>
    <col width="11" customWidth="1" min="3" max="3"/>
    <col width="14" customWidth="1" min="4" max="4"/>
    <col width="14" customWidth="1" min="5" max="5"/>
    <col width="13" customWidth="1" min="6" max="6"/>
    <col width="13" customWidth="1" min="7" max="7"/>
    <col width="13" customWidth="1" min="8" max="8"/>
    <col width="13" customWidth="1" min="9" max="9"/>
    <col width="14" customWidth="1" min="10" max="10"/>
    <col width="14" customWidth="1" min="11" max="11"/>
    <col width="14" customWidth="1" min="12" max="12"/>
    <col width="13" customWidth="1" min="13" max="13"/>
    <col width="10" customWidth="1" min="14" max="14"/>
  </cols>
  <sheetData>
    <row r="1">
      <c r="A1" s="5" t="inlineStr">
        <is>
          <t>Chargeback by cost centre</t>
        </is>
      </c>
    </row>
    <row r="2">
      <c r="A2" s="10" t="inlineStr">
        <is>
          <t>Billing month</t>
        </is>
      </c>
      <c r="B2" s="19">
        <f>Settings!B3</f>
        <v/>
      </c>
    </row>
    <row r="3">
      <c r="A3" s="8" t="inlineStr">
        <is>
          <t>List each cost centre code once in column A (blue). Everything else is calculated. Seat and usage columns are in USD.</t>
        </is>
      </c>
    </row>
    <row r="5" ht="32" customHeight="1">
      <c r="A5" s="11" t="inlineStr">
        <is>
          <t>Cost centre code</t>
        </is>
      </c>
      <c r="B5" s="11" t="inlineStr">
        <is>
          <t>Cost centre name</t>
        </is>
      </c>
      <c r="C5" s="11" t="inlineStr">
        <is>
          <t>Engineers</t>
        </is>
      </c>
      <c r="D5" s="11" t="inlineStr">
        <is>
          <t>Claude Code seats</t>
        </is>
      </c>
      <c r="E5" s="11" t="inlineStr">
        <is>
          <t>Claude Code usage</t>
        </is>
      </c>
      <c r="F5" s="11" t="inlineStr">
        <is>
          <t>Cursor seats</t>
        </is>
      </c>
      <c r="G5" s="11" t="inlineStr">
        <is>
          <t>Cursor usage</t>
        </is>
      </c>
      <c r="H5" s="11" t="inlineStr">
        <is>
          <t>Copilot seats</t>
        </is>
      </c>
      <c r="I5" s="11" t="inlineStr">
        <is>
          <t>Copilot usage</t>
        </is>
      </c>
      <c r="J5" s="11" t="inlineStr">
        <is>
          <t>Direct total</t>
        </is>
      </c>
      <c r="K5" s="11" t="inlineStr">
        <is>
          <t>Share of unmapped</t>
        </is>
      </c>
      <c r="L5" s="11" t="inlineStr">
        <is>
          <t>Total charge</t>
        </is>
      </c>
      <c r="M5" s="11" t="inlineStr">
        <is>
          <t>Per engineer</t>
        </is>
      </c>
      <c r="N5" s="11" t="inlineStr">
        <is>
          <t>% of total</t>
        </is>
      </c>
    </row>
    <row r="6">
      <c r="A6" s="16" t="inlineStr">
        <is>
          <t>CC-4100</t>
        </is>
      </c>
      <c r="B6" s="19">
        <f>IF($A6="","",IFERROR(INDEX(Teams!$D$5:$D$104,MATCH(A6,Teams!$C$5:$C$104,0)),""))</f>
        <v/>
      </c>
      <c r="C6" s="23">
        <f>IF($A6="","",SUMIFS(Teams!$F$5:$F$104,Teams!$C$5:$C$104,A6&amp;""))</f>
        <v/>
      </c>
      <c r="D6" s="21">
        <f>IF($A6="","",SUMIFS('Seat roster'!$I$5:$I$304,'Seat roster'!$G$5:$G$304,$A6&amp;"",'Seat roster'!$C$5:$C$304,"Claude Code"))</f>
        <v/>
      </c>
      <c r="E6" s="21">
        <f>IF($A6="","",SUMIFS('Claude Code'!$J$5:$J$64,'Claude Code'!$I$5:$I$64,$A6&amp;""))</f>
        <v/>
      </c>
      <c r="F6" s="21">
        <f>IF($A6="","",SUMIFS('Seat roster'!$I$5:$I$304,'Seat roster'!$G$5:$G$304,$A6&amp;"",'Seat roster'!$C$5:$C$304,"Cursor"))</f>
        <v/>
      </c>
      <c r="G6" s="21">
        <f>IF($A6="","",SUMIFS('Seat roster'!$J$5:$J$304,'Seat roster'!$G$5:$G$304,$A6&amp;"",'Seat roster'!$C$5:$C$304,"Cursor"))</f>
        <v/>
      </c>
      <c r="H6" s="21">
        <f>IF($A6="","",SUMIFS('Seat roster'!$I$5:$I$304,'Seat roster'!$G$5:$G$304,$A6&amp;"",'Seat roster'!$C$5:$C$304,"GitHub Copilot"))</f>
        <v/>
      </c>
      <c r="I6" s="21">
        <f>IF($A6="","",SUMIFS('Seat roster'!$J$5:$J$304,'Seat roster'!$G$5:$G$304,$A6&amp;"",'Seat roster'!$C$5:$C$304,"GitHub Copilot"))</f>
        <v/>
      </c>
      <c r="J6" s="21">
        <f>IF($A6="","",SUM(D6:I6))</f>
        <v/>
      </c>
      <c r="K6" s="21">
        <f>IF($A6="","",IF(AND(Settings!$B$5="Yes",$C$37&gt;0),$J$36*C6/$C$37,0))</f>
        <v/>
      </c>
      <c r="L6" s="24">
        <f>IF($A6="","",J6+K6)</f>
        <v/>
      </c>
      <c r="M6" s="21">
        <f>IF(OR($A6="",N(C6)=0),"",L6/C6)</f>
        <v/>
      </c>
      <c r="N6" s="25">
        <f>IF(OR($A6="",$L$37=0),"",L6/$L$37)</f>
        <v/>
      </c>
    </row>
    <row r="7">
      <c r="A7" s="16" t="inlineStr">
        <is>
          <t>CC-4200</t>
        </is>
      </c>
      <c r="B7" s="19">
        <f>IF($A7="","",IFERROR(INDEX(Teams!$D$5:$D$104,MATCH(A7,Teams!$C$5:$C$104,0)),""))</f>
        <v/>
      </c>
      <c r="C7" s="23">
        <f>IF($A7="","",SUMIFS(Teams!$F$5:$F$104,Teams!$C$5:$C$104,A7&amp;""))</f>
        <v/>
      </c>
      <c r="D7" s="21">
        <f>IF($A7="","",SUMIFS('Seat roster'!$I$5:$I$304,'Seat roster'!$G$5:$G$304,$A7&amp;"",'Seat roster'!$C$5:$C$304,"Claude Code"))</f>
        <v/>
      </c>
      <c r="E7" s="21">
        <f>IF($A7="","",SUMIFS('Claude Code'!$J$5:$J$64,'Claude Code'!$I$5:$I$64,$A7&amp;""))</f>
        <v/>
      </c>
      <c r="F7" s="21">
        <f>IF($A7="","",SUMIFS('Seat roster'!$I$5:$I$304,'Seat roster'!$G$5:$G$304,$A7&amp;"",'Seat roster'!$C$5:$C$304,"Cursor"))</f>
        <v/>
      </c>
      <c r="G7" s="21">
        <f>IF($A7="","",SUMIFS('Seat roster'!$J$5:$J$304,'Seat roster'!$G$5:$G$304,$A7&amp;"",'Seat roster'!$C$5:$C$304,"Cursor"))</f>
        <v/>
      </c>
      <c r="H7" s="21">
        <f>IF($A7="","",SUMIFS('Seat roster'!$I$5:$I$304,'Seat roster'!$G$5:$G$304,$A7&amp;"",'Seat roster'!$C$5:$C$304,"GitHub Copilot"))</f>
        <v/>
      </c>
      <c r="I7" s="21">
        <f>IF($A7="","",SUMIFS('Seat roster'!$J$5:$J$304,'Seat roster'!$G$5:$G$304,$A7&amp;"",'Seat roster'!$C$5:$C$304,"GitHub Copilot"))</f>
        <v/>
      </c>
      <c r="J7" s="21">
        <f>IF($A7="","",SUM(D7:I7))</f>
        <v/>
      </c>
      <c r="K7" s="21">
        <f>IF($A7="","",IF(AND(Settings!$B$5="Yes",$C$37&gt;0),$J$36*C7/$C$37,0))</f>
        <v/>
      </c>
      <c r="L7" s="24">
        <f>IF($A7="","",J7+K7)</f>
        <v/>
      </c>
      <c r="M7" s="21">
        <f>IF(OR($A7="",N(C7)=0),"",L7/C7)</f>
        <v/>
      </c>
      <c r="N7" s="25">
        <f>IF(OR($A7="",$L$37=0),"",L7/$L$37)</f>
        <v/>
      </c>
    </row>
    <row r="8">
      <c r="A8" s="16" t="inlineStr">
        <is>
          <t>CC-4300</t>
        </is>
      </c>
      <c r="B8" s="19">
        <f>IF($A8="","",IFERROR(INDEX(Teams!$D$5:$D$104,MATCH(A8,Teams!$C$5:$C$104,0)),""))</f>
        <v/>
      </c>
      <c r="C8" s="23">
        <f>IF($A8="","",SUMIFS(Teams!$F$5:$F$104,Teams!$C$5:$C$104,A8&amp;""))</f>
        <v/>
      </c>
      <c r="D8" s="21">
        <f>IF($A8="","",SUMIFS('Seat roster'!$I$5:$I$304,'Seat roster'!$G$5:$G$304,$A8&amp;"",'Seat roster'!$C$5:$C$304,"Claude Code"))</f>
        <v/>
      </c>
      <c r="E8" s="21">
        <f>IF($A8="","",SUMIFS('Claude Code'!$J$5:$J$64,'Claude Code'!$I$5:$I$64,$A8&amp;""))</f>
        <v/>
      </c>
      <c r="F8" s="21">
        <f>IF($A8="","",SUMIFS('Seat roster'!$I$5:$I$304,'Seat roster'!$G$5:$G$304,$A8&amp;"",'Seat roster'!$C$5:$C$304,"Cursor"))</f>
        <v/>
      </c>
      <c r="G8" s="21">
        <f>IF($A8="","",SUMIFS('Seat roster'!$J$5:$J$304,'Seat roster'!$G$5:$G$304,$A8&amp;"",'Seat roster'!$C$5:$C$304,"Cursor"))</f>
        <v/>
      </c>
      <c r="H8" s="21">
        <f>IF($A8="","",SUMIFS('Seat roster'!$I$5:$I$304,'Seat roster'!$G$5:$G$304,$A8&amp;"",'Seat roster'!$C$5:$C$304,"GitHub Copilot"))</f>
        <v/>
      </c>
      <c r="I8" s="21">
        <f>IF($A8="","",SUMIFS('Seat roster'!$J$5:$J$304,'Seat roster'!$G$5:$G$304,$A8&amp;"",'Seat roster'!$C$5:$C$304,"GitHub Copilot"))</f>
        <v/>
      </c>
      <c r="J8" s="21">
        <f>IF($A8="","",SUM(D8:I8))</f>
        <v/>
      </c>
      <c r="K8" s="21">
        <f>IF($A8="","",IF(AND(Settings!$B$5="Yes",$C$37&gt;0),$J$36*C8/$C$37,0))</f>
        <v/>
      </c>
      <c r="L8" s="24">
        <f>IF($A8="","",J8+K8)</f>
        <v/>
      </c>
      <c r="M8" s="21">
        <f>IF(OR($A8="",N(C8)=0),"",L8/C8)</f>
        <v/>
      </c>
      <c r="N8" s="25">
        <f>IF(OR($A8="",$L$37=0),"",L8/$L$37)</f>
        <v/>
      </c>
    </row>
    <row r="9">
      <c r="A9" s="16" t="inlineStr">
        <is>
          <t>CC-4400</t>
        </is>
      </c>
      <c r="B9" s="19">
        <f>IF($A9="","",IFERROR(INDEX(Teams!$D$5:$D$104,MATCH(A9,Teams!$C$5:$C$104,0)),""))</f>
        <v/>
      </c>
      <c r="C9" s="23">
        <f>IF($A9="","",SUMIFS(Teams!$F$5:$F$104,Teams!$C$5:$C$104,A9&amp;""))</f>
        <v/>
      </c>
      <c r="D9" s="21">
        <f>IF($A9="","",SUMIFS('Seat roster'!$I$5:$I$304,'Seat roster'!$G$5:$G$304,$A9&amp;"",'Seat roster'!$C$5:$C$304,"Claude Code"))</f>
        <v/>
      </c>
      <c r="E9" s="21">
        <f>IF($A9="","",SUMIFS('Claude Code'!$J$5:$J$64,'Claude Code'!$I$5:$I$64,$A9&amp;""))</f>
        <v/>
      </c>
      <c r="F9" s="21">
        <f>IF($A9="","",SUMIFS('Seat roster'!$I$5:$I$304,'Seat roster'!$G$5:$G$304,$A9&amp;"",'Seat roster'!$C$5:$C$304,"Cursor"))</f>
        <v/>
      </c>
      <c r="G9" s="21">
        <f>IF($A9="","",SUMIFS('Seat roster'!$J$5:$J$304,'Seat roster'!$G$5:$G$304,$A9&amp;"",'Seat roster'!$C$5:$C$304,"Cursor"))</f>
        <v/>
      </c>
      <c r="H9" s="21">
        <f>IF($A9="","",SUMIFS('Seat roster'!$I$5:$I$304,'Seat roster'!$G$5:$G$304,$A9&amp;"",'Seat roster'!$C$5:$C$304,"GitHub Copilot"))</f>
        <v/>
      </c>
      <c r="I9" s="21">
        <f>IF($A9="","",SUMIFS('Seat roster'!$J$5:$J$304,'Seat roster'!$G$5:$G$304,$A9&amp;"",'Seat roster'!$C$5:$C$304,"GitHub Copilot"))</f>
        <v/>
      </c>
      <c r="J9" s="21">
        <f>IF($A9="","",SUM(D9:I9))</f>
        <v/>
      </c>
      <c r="K9" s="21">
        <f>IF($A9="","",IF(AND(Settings!$B$5="Yes",$C$37&gt;0),$J$36*C9/$C$37,0))</f>
        <v/>
      </c>
      <c r="L9" s="24">
        <f>IF($A9="","",J9+K9)</f>
        <v/>
      </c>
      <c r="M9" s="21">
        <f>IF(OR($A9="",N(C9)=0),"",L9/C9)</f>
        <v/>
      </c>
      <c r="N9" s="25">
        <f>IF(OR($A9="",$L$37=0),"",L9/$L$37)</f>
        <v/>
      </c>
    </row>
    <row r="10">
      <c r="A10" s="12" t="n"/>
      <c r="B10" s="19">
        <f>IF($A10="","",IFERROR(INDEX(Teams!$D$5:$D$104,MATCH(A10,Teams!$C$5:$C$104,0)),""))</f>
        <v/>
      </c>
      <c r="C10" s="23">
        <f>IF($A10="","",SUMIFS(Teams!$F$5:$F$104,Teams!$C$5:$C$104,A10&amp;""))</f>
        <v/>
      </c>
      <c r="D10" s="21">
        <f>IF($A10="","",SUMIFS('Seat roster'!$I$5:$I$304,'Seat roster'!$G$5:$G$304,$A10&amp;"",'Seat roster'!$C$5:$C$304,"Claude Code"))</f>
        <v/>
      </c>
      <c r="E10" s="21">
        <f>IF($A10="","",SUMIFS('Claude Code'!$J$5:$J$64,'Claude Code'!$I$5:$I$64,$A10&amp;""))</f>
        <v/>
      </c>
      <c r="F10" s="21">
        <f>IF($A10="","",SUMIFS('Seat roster'!$I$5:$I$304,'Seat roster'!$G$5:$G$304,$A10&amp;"",'Seat roster'!$C$5:$C$304,"Cursor"))</f>
        <v/>
      </c>
      <c r="G10" s="21">
        <f>IF($A10="","",SUMIFS('Seat roster'!$J$5:$J$304,'Seat roster'!$G$5:$G$304,$A10&amp;"",'Seat roster'!$C$5:$C$304,"Cursor"))</f>
        <v/>
      </c>
      <c r="H10" s="21">
        <f>IF($A10="","",SUMIFS('Seat roster'!$I$5:$I$304,'Seat roster'!$G$5:$G$304,$A10&amp;"",'Seat roster'!$C$5:$C$304,"GitHub Copilot"))</f>
        <v/>
      </c>
      <c r="I10" s="21">
        <f>IF($A10="","",SUMIFS('Seat roster'!$J$5:$J$304,'Seat roster'!$G$5:$G$304,$A10&amp;"",'Seat roster'!$C$5:$C$304,"GitHub Copilot"))</f>
        <v/>
      </c>
      <c r="J10" s="21">
        <f>IF($A10="","",SUM(D10:I10))</f>
        <v/>
      </c>
      <c r="K10" s="21">
        <f>IF($A10="","",IF(AND(Settings!$B$5="Yes",$C$37&gt;0),$J$36*C10/$C$37,0))</f>
        <v/>
      </c>
      <c r="L10" s="24">
        <f>IF($A10="","",J10+K10)</f>
        <v/>
      </c>
      <c r="M10" s="21">
        <f>IF(OR($A10="",N(C10)=0),"",L10/C10)</f>
        <v/>
      </c>
      <c r="N10" s="25">
        <f>IF(OR($A10="",$L$37=0),"",L10/$L$37)</f>
        <v/>
      </c>
    </row>
    <row r="11">
      <c r="A11" s="12" t="n"/>
      <c r="B11" s="19">
        <f>IF($A11="","",IFERROR(INDEX(Teams!$D$5:$D$104,MATCH(A11,Teams!$C$5:$C$104,0)),""))</f>
        <v/>
      </c>
      <c r="C11" s="23">
        <f>IF($A11="","",SUMIFS(Teams!$F$5:$F$104,Teams!$C$5:$C$104,A11&amp;""))</f>
        <v/>
      </c>
      <c r="D11" s="21">
        <f>IF($A11="","",SUMIFS('Seat roster'!$I$5:$I$304,'Seat roster'!$G$5:$G$304,$A11&amp;"",'Seat roster'!$C$5:$C$304,"Claude Code"))</f>
        <v/>
      </c>
      <c r="E11" s="21">
        <f>IF($A11="","",SUMIFS('Claude Code'!$J$5:$J$64,'Claude Code'!$I$5:$I$64,$A11&amp;""))</f>
        <v/>
      </c>
      <c r="F11" s="21">
        <f>IF($A11="","",SUMIFS('Seat roster'!$I$5:$I$304,'Seat roster'!$G$5:$G$304,$A11&amp;"",'Seat roster'!$C$5:$C$304,"Cursor"))</f>
        <v/>
      </c>
      <c r="G11" s="21">
        <f>IF($A11="","",SUMIFS('Seat roster'!$J$5:$J$304,'Seat roster'!$G$5:$G$304,$A11&amp;"",'Seat roster'!$C$5:$C$304,"Cursor"))</f>
        <v/>
      </c>
      <c r="H11" s="21">
        <f>IF($A11="","",SUMIFS('Seat roster'!$I$5:$I$304,'Seat roster'!$G$5:$G$304,$A11&amp;"",'Seat roster'!$C$5:$C$304,"GitHub Copilot"))</f>
        <v/>
      </c>
      <c r="I11" s="21">
        <f>IF($A11="","",SUMIFS('Seat roster'!$J$5:$J$304,'Seat roster'!$G$5:$G$304,$A11&amp;"",'Seat roster'!$C$5:$C$304,"GitHub Copilot"))</f>
        <v/>
      </c>
      <c r="J11" s="21">
        <f>IF($A11="","",SUM(D11:I11))</f>
        <v/>
      </c>
      <c r="K11" s="21">
        <f>IF($A11="","",IF(AND(Settings!$B$5="Yes",$C$37&gt;0),$J$36*C11/$C$37,0))</f>
        <v/>
      </c>
      <c r="L11" s="24">
        <f>IF($A11="","",J11+K11)</f>
        <v/>
      </c>
      <c r="M11" s="21">
        <f>IF(OR($A11="",N(C11)=0),"",L11/C11)</f>
        <v/>
      </c>
      <c r="N11" s="25">
        <f>IF(OR($A11="",$L$37=0),"",L11/$L$37)</f>
        <v/>
      </c>
    </row>
    <row r="12">
      <c r="A12" s="12" t="n"/>
      <c r="B12" s="19">
        <f>IF($A12="","",IFERROR(INDEX(Teams!$D$5:$D$104,MATCH(A12,Teams!$C$5:$C$104,0)),""))</f>
        <v/>
      </c>
      <c r="C12" s="23">
        <f>IF($A12="","",SUMIFS(Teams!$F$5:$F$104,Teams!$C$5:$C$104,A12&amp;""))</f>
        <v/>
      </c>
      <c r="D12" s="21">
        <f>IF($A12="","",SUMIFS('Seat roster'!$I$5:$I$304,'Seat roster'!$G$5:$G$304,$A12&amp;"",'Seat roster'!$C$5:$C$304,"Claude Code"))</f>
        <v/>
      </c>
      <c r="E12" s="21">
        <f>IF($A12="","",SUMIFS('Claude Code'!$J$5:$J$64,'Claude Code'!$I$5:$I$64,$A12&amp;""))</f>
        <v/>
      </c>
      <c r="F12" s="21">
        <f>IF($A12="","",SUMIFS('Seat roster'!$I$5:$I$304,'Seat roster'!$G$5:$G$304,$A12&amp;"",'Seat roster'!$C$5:$C$304,"Cursor"))</f>
        <v/>
      </c>
      <c r="G12" s="21">
        <f>IF($A12="","",SUMIFS('Seat roster'!$J$5:$J$304,'Seat roster'!$G$5:$G$304,$A12&amp;"",'Seat roster'!$C$5:$C$304,"Cursor"))</f>
        <v/>
      </c>
      <c r="H12" s="21">
        <f>IF($A12="","",SUMIFS('Seat roster'!$I$5:$I$304,'Seat roster'!$G$5:$G$304,$A12&amp;"",'Seat roster'!$C$5:$C$304,"GitHub Copilot"))</f>
        <v/>
      </c>
      <c r="I12" s="21">
        <f>IF($A12="","",SUMIFS('Seat roster'!$J$5:$J$304,'Seat roster'!$G$5:$G$304,$A12&amp;"",'Seat roster'!$C$5:$C$304,"GitHub Copilot"))</f>
        <v/>
      </c>
      <c r="J12" s="21">
        <f>IF($A12="","",SUM(D12:I12))</f>
        <v/>
      </c>
      <c r="K12" s="21">
        <f>IF($A12="","",IF(AND(Settings!$B$5="Yes",$C$37&gt;0),$J$36*C12/$C$37,0))</f>
        <v/>
      </c>
      <c r="L12" s="24">
        <f>IF($A12="","",J12+K12)</f>
        <v/>
      </c>
      <c r="M12" s="21">
        <f>IF(OR($A12="",N(C12)=0),"",L12/C12)</f>
        <v/>
      </c>
      <c r="N12" s="25">
        <f>IF(OR($A12="",$L$37=0),"",L12/$L$37)</f>
        <v/>
      </c>
    </row>
    <row r="13">
      <c r="A13" s="12" t="n"/>
      <c r="B13" s="19">
        <f>IF($A13="","",IFERROR(INDEX(Teams!$D$5:$D$104,MATCH(A13,Teams!$C$5:$C$104,0)),""))</f>
        <v/>
      </c>
      <c r="C13" s="23">
        <f>IF($A13="","",SUMIFS(Teams!$F$5:$F$104,Teams!$C$5:$C$104,A13&amp;""))</f>
        <v/>
      </c>
      <c r="D13" s="21">
        <f>IF($A13="","",SUMIFS('Seat roster'!$I$5:$I$304,'Seat roster'!$G$5:$G$304,$A13&amp;"",'Seat roster'!$C$5:$C$304,"Claude Code"))</f>
        <v/>
      </c>
      <c r="E13" s="21">
        <f>IF($A13="","",SUMIFS('Claude Code'!$J$5:$J$64,'Claude Code'!$I$5:$I$64,$A13&amp;""))</f>
        <v/>
      </c>
      <c r="F13" s="21">
        <f>IF($A13="","",SUMIFS('Seat roster'!$I$5:$I$304,'Seat roster'!$G$5:$G$304,$A13&amp;"",'Seat roster'!$C$5:$C$304,"Cursor"))</f>
        <v/>
      </c>
      <c r="G13" s="21">
        <f>IF($A13="","",SUMIFS('Seat roster'!$J$5:$J$304,'Seat roster'!$G$5:$G$304,$A13&amp;"",'Seat roster'!$C$5:$C$304,"Cursor"))</f>
        <v/>
      </c>
      <c r="H13" s="21">
        <f>IF($A13="","",SUMIFS('Seat roster'!$I$5:$I$304,'Seat roster'!$G$5:$G$304,$A13&amp;"",'Seat roster'!$C$5:$C$304,"GitHub Copilot"))</f>
        <v/>
      </c>
      <c r="I13" s="21">
        <f>IF($A13="","",SUMIFS('Seat roster'!$J$5:$J$304,'Seat roster'!$G$5:$G$304,$A13&amp;"",'Seat roster'!$C$5:$C$304,"GitHub Copilot"))</f>
        <v/>
      </c>
      <c r="J13" s="21">
        <f>IF($A13="","",SUM(D13:I13))</f>
        <v/>
      </c>
      <c r="K13" s="21">
        <f>IF($A13="","",IF(AND(Settings!$B$5="Yes",$C$37&gt;0),$J$36*C13/$C$37,0))</f>
        <v/>
      </c>
      <c r="L13" s="24">
        <f>IF($A13="","",J13+K13)</f>
        <v/>
      </c>
      <c r="M13" s="21">
        <f>IF(OR($A13="",N(C13)=0),"",L13/C13)</f>
        <v/>
      </c>
      <c r="N13" s="25">
        <f>IF(OR($A13="",$L$37=0),"",L13/$L$37)</f>
        <v/>
      </c>
    </row>
    <row r="14">
      <c r="A14" s="12" t="n"/>
      <c r="B14" s="19">
        <f>IF($A14="","",IFERROR(INDEX(Teams!$D$5:$D$104,MATCH(A14,Teams!$C$5:$C$104,0)),""))</f>
        <v/>
      </c>
      <c r="C14" s="23">
        <f>IF($A14="","",SUMIFS(Teams!$F$5:$F$104,Teams!$C$5:$C$104,A14&amp;""))</f>
        <v/>
      </c>
      <c r="D14" s="21">
        <f>IF($A14="","",SUMIFS('Seat roster'!$I$5:$I$304,'Seat roster'!$G$5:$G$304,$A14&amp;"",'Seat roster'!$C$5:$C$304,"Claude Code"))</f>
        <v/>
      </c>
      <c r="E14" s="21">
        <f>IF($A14="","",SUMIFS('Claude Code'!$J$5:$J$64,'Claude Code'!$I$5:$I$64,$A14&amp;""))</f>
        <v/>
      </c>
      <c r="F14" s="21">
        <f>IF($A14="","",SUMIFS('Seat roster'!$I$5:$I$304,'Seat roster'!$G$5:$G$304,$A14&amp;"",'Seat roster'!$C$5:$C$304,"Cursor"))</f>
        <v/>
      </c>
      <c r="G14" s="21">
        <f>IF($A14="","",SUMIFS('Seat roster'!$J$5:$J$304,'Seat roster'!$G$5:$G$304,$A14&amp;"",'Seat roster'!$C$5:$C$304,"Cursor"))</f>
        <v/>
      </c>
      <c r="H14" s="21">
        <f>IF($A14="","",SUMIFS('Seat roster'!$I$5:$I$304,'Seat roster'!$G$5:$G$304,$A14&amp;"",'Seat roster'!$C$5:$C$304,"GitHub Copilot"))</f>
        <v/>
      </c>
      <c r="I14" s="21">
        <f>IF($A14="","",SUMIFS('Seat roster'!$J$5:$J$304,'Seat roster'!$G$5:$G$304,$A14&amp;"",'Seat roster'!$C$5:$C$304,"GitHub Copilot"))</f>
        <v/>
      </c>
      <c r="J14" s="21">
        <f>IF($A14="","",SUM(D14:I14))</f>
        <v/>
      </c>
      <c r="K14" s="21">
        <f>IF($A14="","",IF(AND(Settings!$B$5="Yes",$C$37&gt;0),$J$36*C14/$C$37,0))</f>
        <v/>
      </c>
      <c r="L14" s="24">
        <f>IF($A14="","",J14+K14)</f>
        <v/>
      </c>
      <c r="M14" s="21">
        <f>IF(OR($A14="",N(C14)=0),"",L14/C14)</f>
        <v/>
      </c>
      <c r="N14" s="25">
        <f>IF(OR($A14="",$L$37=0),"",L14/$L$37)</f>
        <v/>
      </c>
    </row>
    <row r="15">
      <c r="A15" s="12" t="n"/>
      <c r="B15" s="19">
        <f>IF($A15="","",IFERROR(INDEX(Teams!$D$5:$D$104,MATCH(A15,Teams!$C$5:$C$104,0)),""))</f>
        <v/>
      </c>
      <c r="C15" s="23">
        <f>IF($A15="","",SUMIFS(Teams!$F$5:$F$104,Teams!$C$5:$C$104,A15&amp;""))</f>
        <v/>
      </c>
      <c r="D15" s="21">
        <f>IF($A15="","",SUMIFS('Seat roster'!$I$5:$I$304,'Seat roster'!$G$5:$G$304,$A15&amp;"",'Seat roster'!$C$5:$C$304,"Claude Code"))</f>
        <v/>
      </c>
      <c r="E15" s="21">
        <f>IF($A15="","",SUMIFS('Claude Code'!$J$5:$J$64,'Claude Code'!$I$5:$I$64,$A15&amp;""))</f>
        <v/>
      </c>
      <c r="F15" s="21">
        <f>IF($A15="","",SUMIFS('Seat roster'!$I$5:$I$304,'Seat roster'!$G$5:$G$304,$A15&amp;"",'Seat roster'!$C$5:$C$304,"Cursor"))</f>
        <v/>
      </c>
      <c r="G15" s="21">
        <f>IF($A15="","",SUMIFS('Seat roster'!$J$5:$J$304,'Seat roster'!$G$5:$G$304,$A15&amp;"",'Seat roster'!$C$5:$C$304,"Cursor"))</f>
        <v/>
      </c>
      <c r="H15" s="21">
        <f>IF($A15="","",SUMIFS('Seat roster'!$I$5:$I$304,'Seat roster'!$G$5:$G$304,$A15&amp;"",'Seat roster'!$C$5:$C$304,"GitHub Copilot"))</f>
        <v/>
      </c>
      <c r="I15" s="21">
        <f>IF($A15="","",SUMIFS('Seat roster'!$J$5:$J$304,'Seat roster'!$G$5:$G$304,$A15&amp;"",'Seat roster'!$C$5:$C$304,"GitHub Copilot"))</f>
        <v/>
      </c>
      <c r="J15" s="21">
        <f>IF($A15="","",SUM(D15:I15))</f>
        <v/>
      </c>
      <c r="K15" s="21">
        <f>IF($A15="","",IF(AND(Settings!$B$5="Yes",$C$37&gt;0),$J$36*C15/$C$37,0))</f>
        <v/>
      </c>
      <c r="L15" s="24">
        <f>IF($A15="","",J15+K15)</f>
        <v/>
      </c>
      <c r="M15" s="21">
        <f>IF(OR($A15="",N(C15)=0),"",L15/C15)</f>
        <v/>
      </c>
      <c r="N15" s="25">
        <f>IF(OR($A15="",$L$37=0),"",L15/$L$37)</f>
        <v/>
      </c>
    </row>
    <row r="16">
      <c r="A16" s="12" t="n"/>
      <c r="B16" s="19">
        <f>IF($A16="","",IFERROR(INDEX(Teams!$D$5:$D$104,MATCH(A16,Teams!$C$5:$C$104,0)),""))</f>
        <v/>
      </c>
      <c r="C16" s="23">
        <f>IF($A16="","",SUMIFS(Teams!$F$5:$F$104,Teams!$C$5:$C$104,A16&amp;""))</f>
        <v/>
      </c>
      <c r="D16" s="21">
        <f>IF($A16="","",SUMIFS('Seat roster'!$I$5:$I$304,'Seat roster'!$G$5:$G$304,$A16&amp;"",'Seat roster'!$C$5:$C$304,"Claude Code"))</f>
        <v/>
      </c>
      <c r="E16" s="21">
        <f>IF($A16="","",SUMIFS('Claude Code'!$J$5:$J$64,'Claude Code'!$I$5:$I$64,$A16&amp;""))</f>
        <v/>
      </c>
      <c r="F16" s="21">
        <f>IF($A16="","",SUMIFS('Seat roster'!$I$5:$I$304,'Seat roster'!$G$5:$G$304,$A16&amp;"",'Seat roster'!$C$5:$C$304,"Cursor"))</f>
        <v/>
      </c>
      <c r="G16" s="21">
        <f>IF($A16="","",SUMIFS('Seat roster'!$J$5:$J$304,'Seat roster'!$G$5:$G$304,$A16&amp;"",'Seat roster'!$C$5:$C$304,"Cursor"))</f>
        <v/>
      </c>
      <c r="H16" s="21">
        <f>IF($A16="","",SUMIFS('Seat roster'!$I$5:$I$304,'Seat roster'!$G$5:$G$304,$A16&amp;"",'Seat roster'!$C$5:$C$304,"GitHub Copilot"))</f>
        <v/>
      </c>
      <c r="I16" s="21">
        <f>IF($A16="","",SUMIFS('Seat roster'!$J$5:$J$304,'Seat roster'!$G$5:$G$304,$A16&amp;"",'Seat roster'!$C$5:$C$304,"GitHub Copilot"))</f>
        <v/>
      </c>
      <c r="J16" s="21">
        <f>IF($A16="","",SUM(D16:I16))</f>
        <v/>
      </c>
      <c r="K16" s="21">
        <f>IF($A16="","",IF(AND(Settings!$B$5="Yes",$C$37&gt;0),$J$36*C16/$C$37,0))</f>
        <v/>
      </c>
      <c r="L16" s="24">
        <f>IF($A16="","",J16+K16)</f>
        <v/>
      </c>
      <c r="M16" s="21">
        <f>IF(OR($A16="",N(C16)=0),"",L16/C16)</f>
        <v/>
      </c>
      <c r="N16" s="25">
        <f>IF(OR($A16="",$L$37=0),"",L16/$L$37)</f>
        <v/>
      </c>
    </row>
    <row r="17">
      <c r="A17" s="12" t="n"/>
      <c r="B17" s="19">
        <f>IF($A17="","",IFERROR(INDEX(Teams!$D$5:$D$104,MATCH(A17,Teams!$C$5:$C$104,0)),""))</f>
        <v/>
      </c>
      <c r="C17" s="23">
        <f>IF($A17="","",SUMIFS(Teams!$F$5:$F$104,Teams!$C$5:$C$104,A17&amp;""))</f>
        <v/>
      </c>
      <c r="D17" s="21">
        <f>IF($A17="","",SUMIFS('Seat roster'!$I$5:$I$304,'Seat roster'!$G$5:$G$304,$A17&amp;"",'Seat roster'!$C$5:$C$304,"Claude Code"))</f>
        <v/>
      </c>
      <c r="E17" s="21">
        <f>IF($A17="","",SUMIFS('Claude Code'!$J$5:$J$64,'Claude Code'!$I$5:$I$64,$A17&amp;""))</f>
        <v/>
      </c>
      <c r="F17" s="21">
        <f>IF($A17="","",SUMIFS('Seat roster'!$I$5:$I$304,'Seat roster'!$G$5:$G$304,$A17&amp;"",'Seat roster'!$C$5:$C$304,"Cursor"))</f>
        <v/>
      </c>
      <c r="G17" s="21">
        <f>IF($A17="","",SUMIFS('Seat roster'!$J$5:$J$304,'Seat roster'!$G$5:$G$304,$A17&amp;"",'Seat roster'!$C$5:$C$304,"Cursor"))</f>
        <v/>
      </c>
      <c r="H17" s="21">
        <f>IF($A17="","",SUMIFS('Seat roster'!$I$5:$I$304,'Seat roster'!$G$5:$G$304,$A17&amp;"",'Seat roster'!$C$5:$C$304,"GitHub Copilot"))</f>
        <v/>
      </c>
      <c r="I17" s="21">
        <f>IF($A17="","",SUMIFS('Seat roster'!$J$5:$J$304,'Seat roster'!$G$5:$G$304,$A17&amp;"",'Seat roster'!$C$5:$C$304,"GitHub Copilot"))</f>
        <v/>
      </c>
      <c r="J17" s="21">
        <f>IF($A17="","",SUM(D17:I17))</f>
        <v/>
      </c>
      <c r="K17" s="21">
        <f>IF($A17="","",IF(AND(Settings!$B$5="Yes",$C$37&gt;0),$J$36*C17/$C$37,0))</f>
        <v/>
      </c>
      <c r="L17" s="24">
        <f>IF($A17="","",J17+K17)</f>
        <v/>
      </c>
      <c r="M17" s="21">
        <f>IF(OR($A17="",N(C17)=0),"",L17/C17)</f>
        <v/>
      </c>
      <c r="N17" s="25">
        <f>IF(OR($A17="",$L$37=0),"",L17/$L$37)</f>
        <v/>
      </c>
    </row>
    <row r="18">
      <c r="A18" s="12" t="n"/>
      <c r="B18" s="19">
        <f>IF($A18="","",IFERROR(INDEX(Teams!$D$5:$D$104,MATCH(A18,Teams!$C$5:$C$104,0)),""))</f>
        <v/>
      </c>
      <c r="C18" s="23">
        <f>IF($A18="","",SUMIFS(Teams!$F$5:$F$104,Teams!$C$5:$C$104,A18&amp;""))</f>
        <v/>
      </c>
      <c r="D18" s="21">
        <f>IF($A18="","",SUMIFS('Seat roster'!$I$5:$I$304,'Seat roster'!$G$5:$G$304,$A18&amp;"",'Seat roster'!$C$5:$C$304,"Claude Code"))</f>
        <v/>
      </c>
      <c r="E18" s="21">
        <f>IF($A18="","",SUMIFS('Claude Code'!$J$5:$J$64,'Claude Code'!$I$5:$I$64,$A18&amp;""))</f>
        <v/>
      </c>
      <c r="F18" s="21">
        <f>IF($A18="","",SUMIFS('Seat roster'!$I$5:$I$304,'Seat roster'!$G$5:$G$304,$A18&amp;"",'Seat roster'!$C$5:$C$304,"Cursor"))</f>
        <v/>
      </c>
      <c r="G18" s="21">
        <f>IF($A18="","",SUMIFS('Seat roster'!$J$5:$J$304,'Seat roster'!$G$5:$G$304,$A18&amp;"",'Seat roster'!$C$5:$C$304,"Cursor"))</f>
        <v/>
      </c>
      <c r="H18" s="21">
        <f>IF($A18="","",SUMIFS('Seat roster'!$I$5:$I$304,'Seat roster'!$G$5:$G$304,$A18&amp;"",'Seat roster'!$C$5:$C$304,"GitHub Copilot"))</f>
        <v/>
      </c>
      <c r="I18" s="21">
        <f>IF($A18="","",SUMIFS('Seat roster'!$J$5:$J$304,'Seat roster'!$G$5:$G$304,$A18&amp;"",'Seat roster'!$C$5:$C$304,"GitHub Copilot"))</f>
        <v/>
      </c>
      <c r="J18" s="21">
        <f>IF($A18="","",SUM(D18:I18))</f>
        <v/>
      </c>
      <c r="K18" s="21">
        <f>IF($A18="","",IF(AND(Settings!$B$5="Yes",$C$37&gt;0),$J$36*C18/$C$37,0))</f>
        <v/>
      </c>
      <c r="L18" s="24">
        <f>IF($A18="","",J18+K18)</f>
        <v/>
      </c>
      <c r="M18" s="21">
        <f>IF(OR($A18="",N(C18)=0),"",L18/C18)</f>
        <v/>
      </c>
      <c r="N18" s="25">
        <f>IF(OR($A18="",$L$37=0),"",L18/$L$37)</f>
        <v/>
      </c>
    </row>
    <row r="19">
      <c r="A19" s="12" t="n"/>
      <c r="B19" s="19">
        <f>IF($A19="","",IFERROR(INDEX(Teams!$D$5:$D$104,MATCH(A19,Teams!$C$5:$C$104,0)),""))</f>
        <v/>
      </c>
      <c r="C19" s="23">
        <f>IF($A19="","",SUMIFS(Teams!$F$5:$F$104,Teams!$C$5:$C$104,A19&amp;""))</f>
        <v/>
      </c>
      <c r="D19" s="21">
        <f>IF($A19="","",SUMIFS('Seat roster'!$I$5:$I$304,'Seat roster'!$G$5:$G$304,$A19&amp;"",'Seat roster'!$C$5:$C$304,"Claude Code"))</f>
        <v/>
      </c>
      <c r="E19" s="21">
        <f>IF($A19="","",SUMIFS('Claude Code'!$J$5:$J$64,'Claude Code'!$I$5:$I$64,$A19&amp;""))</f>
        <v/>
      </c>
      <c r="F19" s="21">
        <f>IF($A19="","",SUMIFS('Seat roster'!$I$5:$I$304,'Seat roster'!$G$5:$G$304,$A19&amp;"",'Seat roster'!$C$5:$C$304,"Cursor"))</f>
        <v/>
      </c>
      <c r="G19" s="21">
        <f>IF($A19="","",SUMIFS('Seat roster'!$J$5:$J$304,'Seat roster'!$G$5:$G$304,$A19&amp;"",'Seat roster'!$C$5:$C$304,"Cursor"))</f>
        <v/>
      </c>
      <c r="H19" s="21">
        <f>IF($A19="","",SUMIFS('Seat roster'!$I$5:$I$304,'Seat roster'!$G$5:$G$304,$A19&amp;"",'Seat roster'!$C$5:$C$304,"GitHub Copilot"))</f>
        <v/>
      </c>
      <c r="I19" s="21">
        <f>IF($A19="","",SUMIFS('Seat roster'!$J$5:$J$304,'Seat roster'!$G$5:$G$304,$A19&amp;"",'Seat roster'!$C$5:$C$304,"GitHub Copilot"))</f>
        <v/>
      </c>
      <c r="J19" s="21">
        <f>IF($A19="","",SUM(D19:I19))</f>
        <v/>
      </c>
      <c r="K19" s="21">
        <f>IF($A19="","",IF(AND(Settings!$B$5="Yes",$C$37&gt;0),$J$36*C19/$C$37,0))</f>
        <v/>
      </c>
      <c r="L19" s="24">
        <f>IF($A19="","",J19+K19)</f>
        <v/>
      </c>
      <c r="M19" s="21">
        <f>IF(OR($A19="",N(C19)=0),"",L19/C19)</f>
        <v/>
      </c>
      <c r="N19" s="25">
        <f>IF(OR($A19="",$L$37=0),"",L19/$L$37)</f>
        <v/>
      </c>
    </row>
    <row r="20">
      <c r="A20" s="12" t="n"/>
      <c r="B20" s="19">
        <f>IF($A20="","",IFERROR(INDEX(Teams!$D$5:$D$104,MATCH(A20,Teams!$C$5:$C$104,0)),""))</f>
        <v/>
      </c>
      <c r="C20" s="23">
        <f>IF($A20="","",SUMIFS(Teams!$F$5:$F$104,Teams!$C$5:$C$104,A20&amp;""))</f>
        <v/>
      </c>
      <c r="D20" s="21">
        <f>IF($A20="","",SUMIFS('Seat roster'!$I$5:$I$304,'Seat roster'!$G$5:$G$304,$A20&amp;"",'Seat roster'!$C$5:$C$304,"Claude Code"))</f>
        <v/>
      </c>
      <c r="E20" s="21">
        <f>IF($A20="","",SUMIFS('Claude Code'!$J$5:$J$64,'Claude Code'!$I$5:$I$64,$A20&amp;""))</f>
        <v/>
      </c>
      <c r="F20" s="21">
        <f>IF($A20="","",SUMIFS('Seat roster'!$I$5:$I$304,'Seat roster'!$G$5:$G$304,$A20&amp;"",'Seat roster'!$C$5:$C$304,"Cursor"))</f>
        <v/>
      </c>
      <c r="G20" s="21">
        <f>IF($A20="","",SUMIFS('Seat roster'!$J$5:$J$304,'Seat roster'!$G$5:$G$304,$A20&amp;"",'Seat roster'!$C$5:$C$304,"Cursor"))</f>
        <v/>
      </c>
      <c r="H20" s="21">
        <f>IF($A20="","",SUMIFS('Seat roster'!$I$5:$I$304,'Seat roster'!$G$5:$G$304,$A20&amp;"",'Seat roster'!$C$5:$C$304,"GitHub Copilot"))</f>
        <v/>
      </c>
      <c r="I20" s="21">
        <f>IF($A20="","",SUMIFS('Seat roster'!$J$5:$J$304,'Seat roster'!$G$5:$G$304,$A20&amp;"",'Seat roster'!$C$5:$C$304,"GitHub Copilot"))</f>
        <v/>
      </c>
      <c r="J20" s="21">
        <f>IF($A20="","",SUM(D20:I20))</f>
        <v/>
      </c>
      <c r="K20" s="21">
        <f>IF($A20="","",IF(AND(Settings!$B$5="Yes",$C$37&gt;0),$J$36*C20/$C$37,0))</f>
        <v/>
      </c>
      <c r="L20" s="24">
        <f>IF($A20="","",J20+K20)</f>
        <v/>
      </c>
      <c r="M20" s="21">
        <f>IF(OR($A20="",N(C20)=0),"",L20/C20)</f>
        <v/>
      </c>
      <c r="N20" s="25">
        <f>IF(OR($A20="",$L$37=0),"",L20/$L$37)</f>
        <v/>
      </c>
    </row>
    <row r="21">
      <c r="A21" s="12" t="n"/>
      <c r="B21" s="19">
        <f>IF($A21="","",IFERROR(INDEX(Teams!$D$5:$D$104,MATCH(A21,Teams!$C$5:$C$104,0)),""))</f>
        <v/>
      </c>
      <c r="C21" s="23">
        <f>IF($A21="","",SUMIFS(Teams!$F$5:$F$104,Teams!$C$5:$C$104,A21&amp;""))</f>
        <v/>
      </c>
      <c r="D21" s="21">
        <f>IF($A21="","",SUMIFS('Seat roster'!$I$5:$I$304,'Seat roster'!$G$5:$G$304,$A21&amp;"",'Seat roster'!$C$5:$C$304,"Claude Code"))</f>
        <v/>
      </c>
      <c r="E21" s="21">
        <f>IF($A21="","",SUMIFS('Claude Code'!$J$5:$J$64,'Claude Code'!$I$5:$I$64,$A21&amp;""))</f>
        <v/>
      </c>
      <c r="F21" s="21">
        <f>IF($A21="","",SUMIFS('Seat roster'!$I$5:$I$304,'Seat roster'!$G$5:$G$304,$A21&amp;"",'Seat roster'!$C$5:$C$304,"Cursor"))</f>
        <v/>
      </c>
      <c r="G21" s="21">
        <f>IF($A21="","",SUMIFS('Seat roster'!$J$5:$J$304,'Seat roster'!$G$5:$G$304,$A21&amp;"",'Seat roster'!$C$5:$C$304,"Cursor"))</f>
        <v/>
      </c>
      <c r="H21" s="21">
        <f>IF($A21="","",SUMIFS('Seat roster'!$I$5:$I$304,'Seat roster'!$G$5:$G$304,$A21&amp;"",'Seat roster'!$C$5:$C$304,"GitHub Copilot"))</f>
        <v/>
      </c>
      <c r="I21" s="21">
        <f>IF($A21="","",SUMIFS('Seat roster'!$J$5:$J$304,'Seat roster'!$G$5:$G$304,$A21&amp;"",'Seat roster'!$C$5:$C$304,"GitHub Copilot"))</f>
        <v/>
      </c>
      <c r="J21" s="21">
        <f>IF($A21="","",SUM(D21:I21))</f>
        <v/>
      </c>
      <c r="K21" s="21">
        <f>IF($A21="","",IF(AND(Settings!$B$5="Yes",$C$37&gt;0),$J$36*C21/$C$37,0))</f>
        <v/>
      </c>
      <c r="L21" s="24">
        <f>IF($A21="","",J21+K21)</f>
        <v/>
      </c>
      <c r="M21" s="21">
        <f>IF(OR($A21="",N(C21)=0),"",L21/C21)</f>
        <v/>
      </c>
      <c r="N21" s="25">
        <f>IF(OR($A21="",$L$37=0),"",L21/$L$37)</f>
        <v/>
      </c>
    </row>
    <row r="22">
      <c r="A22" s="12" t="n"/>
      <c r="B22" s="19">
        <f>IF($A22="","",IFERROR(INDEX(Teams!$D$5:$D$104,MATCH(A22,Teams!$C$5:$C$104,0)),""))</f>
        <v/>
      </c>
      <c r="C22" s="23">
        <f>IF($A22="","",SUMIFS(Teams!$F$5:$F$104,Teams!$C$5:$C$104,A22&amp;""))</f>
        <v/>
      </c>
      <c r="D22" s="21">
        <f>IF($A22="","",SUMIFS('Seat roster'!$I$5:$I$304,'Seat roster'!$G$5:$G$304,$A22&amp;"",'Seat roster'!$C$5:$C$304,"Claude Code"))</f>
        <v/>
      </c>
      <c r="E22" s="21">
        <f>IF($A22="","",SUMIFS('Claude Code'!$J$5:$J$64,'Claude Code'!$I$5:$I$64,$A22&amp;""))</f>
        <v/>
      </c>
      <c r="F22" s="21">
        <f>IF($A22="","",SUMIFS('Seat roster'!$I$5:$I$304,'Seat roster'!$G$5:$G$304,$A22&amp;"",'Seat roster'!$C$5:$C$304,"Cursor"))</f>
        <v/>
      </c>
      <c r="G22" s="21">
        <f>IF($A22="","",SUMIFS('Seat roster'!$J$5:$J$304,'Seat roster'!$G$5:$G$304,$A22&amp;"",'Seat roster'!$C$5:$C$304,"Cursor"))</f>
        <v/>
      </c>
      <c r="H22" s="21">
        <f>IF($A22="","",SUMIFS('Seat roster'!$I$5:$I$304,'Seat roster'!$G$5:$G$304,$A22&amp;"",'Seat roster'!$C$5:$C$304,"GitHub Copilot"))</f>
        <v/>
      </c>
      <c r="I22" s="21">
        <f>IF($A22="","",SUMIFS('Seat roster'!$J$5:$J$304,'Seat roster'!$G$5:$G$304,$A22&amp;"",'Seat roster'!$C$5:$C$304,"GitHub Copilot"))</f>
        <v/>
      </c>
      <c r="J22" s="21">
        <f>IF($A22="","",SUM(D22:I22))</f>
        <v/>
      </c>
      <c r="K22" s="21">
        <f>IF($A22="","",IF(AND(Settings!$B$5="Yes",$C$37&gt;0),$J$36*C22/$C$37,0))</f>
        <v/>
      </c>
      <c r="L22" s="24">
        <f>IF($A22="","",J22+K22)</f>
        <v/>
      </c>
      <c r="M22" s="21">
        <f>IF(OR($A22="",N(C22)=0),"",L22/C22)</f>
        <v/>
      </c>
      <c r="N22" s="25">
        <f>IF(OR($A22="",$L$37=0),"",L22/$L$37)</f>
        <v/>
      </c>
    </row>
    <row r="23">
      <c r="A23" s="12" t="n"/>
      <c r="B23" s="19">
        <f>IF($A23="","",IFERROR(INDEX(Teams!$D$5:$D$104,MATCH(A23,Teams!$C$5:$C$104,0)),""))</f>
        <v/>
      </c>
      <c r="C23" s="23">
        <f>IF($A23="","",SUMIFS(Teams!$F$5:$F$104,Teams!$C$5:$C$104,A23&amp;""))</f>
        <v/>
      </c>
      <c r="D23" s="21">
        <f>IF($A23="","",SUMIFS('Seat roster'!$I$5:$I$304,'Seat roster'!$G$5:$G$304,$A23&amp;"",'Seat roster'!$C$5:$C$304,"Claude Code"))</f>
        <v/>
      </c>
      <c r="E23" s="21">
        <f>IF($A23="","",SUMIFS('Claude Code'!$J$5:$J$64,'Claude Code'!$I$5:$I$64,$A23&amp;""))</f>
        <v/>
      </c>
      <c r="F23" s="21">
        <f>IF($A23="","",SUMIFS('Seat roster'!$I$5:$I$304,'Seat roster'!$G$5:$G$304,$A23&amp;"",'Seat roster'!$C$5:$C$304,"Cursor"))</f>
        <v/>
      </c>
      <c r="G23" s="21">
        <f>IF($A23="","",SUMIFS('Seat roster'!$J$5:$J$304,'Seat roster'!$G$5:$G$304,$A23&amp;"",'Seat roster'!$C$5:$C$304,"Cursor"))</f>
        <v/>
      </c>
      <c r="H23" s="21">
        <f>IF($A23="","",SUMIFS('Seat roster'!$I$5:$I$304,'Seat roster'!$G$5:$G$304,$A23&amp;"",'Seat roster'!$C$5:$C$304,"GitHub Copilot"))</f>
        <v/>
      </c>
      <c r="I23" s="21">
        <f>IF($A23="","",SUMIFS('Seat roster'!$J$5:$J$304,'Seat roster'!$G$5:$G$304,$A23&amp;"",'Seat roster'!$C$5:$C$304,"GitHub Copilot"))</f>
        <v/>
      </c>
      <c r="J23" s="21">
        <f>IF($A23="","",SUM(D23:I23))</f>
        <v/>
      </c>
      <c r="K23" s="21">
        <f>IF($A23="","",IF(AND(Settings!$B$5="Yes",$C$37&gt;0),$J$36*C23/$C$37,0))</f>
        <v/>
      </c>
      <c r="L23" s="24">
        <f>IF($A23="","",J23+K23)</f>
        <v/>
      </c>
      <c r="M23" s="21">
        <f>IF(OR($A23="",N(C23)=0),"",L23/C23)</f>
        <v/>
      </c>
      <c r="N23" s="25">
        <f>IF(OR($A23="",$L$37=0),"",L23/$L$37)</f>
        <v/>
      </c>
    </row>
    <row r="24">
      <c r="A24" s="12" t="n"/>
      <c r="B24" s="19">
        <f>IF($A24="","",IFERROR(INDEX(Teams!$D$5:$D$104,MATCH(A24,Teams!$C$5:$C$104,0)),""))</f>
        <v/>
      </c>
      <c r="C24" s="23">
        <f>IF($A24="","",SUMIFS(Teams!$F$5:$F$104,Teams!$C$5:$C$104,A24&amp;""))</f>
        <v/>
      </c>
      <c r="D24" s="21">
        <f>IF($A24="","",SUMIFS('Seat roster'!$I$5:$I$304,'Seat roster'!$G$5:$G$304,$A24&amp;"",'Seat roster'!$C$5:$C$304,"Claude Code"))</f>
        <v/>
      </c>
      <c r="E24" s="21">
        <f>IF($A24="","",SUMIFS('Claude Code'!$J$5:$J$64,'Claude Code'!$I$5:$I$64,$A24&amp;""))</f>
        <v/>
      </c>
      <c r="F24" s="21">
        <f>IF($A24="","",SUMIFS('Seat roster'!$I$5:$I$304,'Seat roster'!$G$5:$G$304,$A24&amp;"",'Seat roster'!$C$5:$C$304,"Cursor"))</f>
        <v/>
      </c>
      <c r="G24" s="21">
        <f>IF($A24="","",SUMIFS('Seat roster'!$J$5:$J$304,'Seat roster'!$G$5:$G$304,$A24&amp;"",'Seat roster'!$C$5:$C$304,"Cursor"))</f>
        <v/>
      </c>
      <c r="H24" s="21">
        <f>IF($A24="","",SUMIFS('Seat roster'!$I$5:$I$304,'Seat roster'!$G$5:$G$304,$A24&amp;"",'Seat roster'!$C$5:$C$304,"GitHub Copilot"))</f>
        <v/>
      </c>
      <c r="I24" s="21">
        <f>IF($A24="","",SUMIFS('Seat roster'!$J$5:$J$304,'Seat roster'!$G$5:$G$304,$A24&amp;"",'Seat roster'!$C$5:$C$304,"GitHub Copilot"))</f>
        <v/>
      </c>
      <c r="J24" s="21">
        <f>IF($A24="","",SUM(D24:I24))</f>
        <v/>
      </c>
      <c r="K24" s="21">
        <f>IF($A24="","",IF(AND(Settings!$B$5="Yes",$C$37&gt;0),$J$36*C24/$C$37,0))</f>
        <v/>
      </c>
      <c r="L24" s="24">
        <f>IF($A24="","",J24+K24)</f>
        <v/>
      </c>
      <c r="M24" s="21">
        <f>IF(OR($A24="",N(C24)=0),"",L24/C24)</f>
        <v/>
      </c>
      <c r="N24" s="25">
        <f>IF(OR($A24="",$L$37=0),"",L24/$L$37)</f>
        <v/>
      </c>
    </row>
    <row r="25">
      <c r="A25" s="12" t="n"/>
      <c r="B25" s="19">
        <f>IF($A25="","",IFERROR(INDEX(Teams!$D$5:$D$104,MATCH(A25,Teams!$C$5:$C$104,0)),""))</f>
        <v/>
      </c>
      <c r="C25" s="23">
        <f>IF($A25="","",SUMIFS(Teams!$F$5:$F$104,Teams!$C$5:$C$104,A25&amp;""))</f>
        <v/>
      </c>
      <c r="D25" s="21">
        <f>IF($A25="","",SUMIFS('Seat roster'!$I$5:$I$304,'Seat roster'!$G$5:$G$304,$A25&amp;"",'Seat roster'!$C$5:$C$304,"Claude Code"))</f>
        <v/>
      </c>
      <c r="E25" s="21">
        <f>IF($A25="","",SUMIFS('Claude Code'!$J$5:$J$64,'Claude Code'!$I$5:$I$64,$A25&amp;""))</f>
        <v/>
      </c>
      <c r="F25" s="21">
        <f>IF($A25="","",SUMIFS('Seat roster'!$I$5:$I$304,'Seat roster'!$G$5:$G$304,$A25&amp;"",'Seat roster'!$C$5:$C$304,"Cursor"))</f>
        <v/>
      </c>
      <c r="G25" s="21">
        <f>IF($A25="","",SUMIFS('Seat roster'!$J$5:$J$304,'Seat roster'!$G$5:$G$304,$A25&amp;"",'Seat roster'!$C$5:$C$304,"Cursor"))</f>
        <v/>
      </c>
      <c r="H25" s="21">
        <f>IF($A25="","",SUMIFS('Seat roster'!$I$5:$I$304,'Seat roster'!$G$5:$G$304,$A25&amp;"",'Seat roster'!$C$5:$C$304,"GitHub Copilot"))</f>
        <v/>
      </c>
      <c r="I25" s="21">
        <f>IF($A25="","",SUMIFS('Seat roster'!$J$5:$J$304,'Seat roster'!$G$5:$G$304,$A25&amp;"",'Seat roster'!$C$5:$C$304,"GitHub Copilot"))</f>
        <v/>
      </c>
      <c r="J25" s="21">
        <f>IF($A25="","",SUM(D25:I25))</f>
        <v/>
      </c>
      <c r="K25" s="21">
        <f>IF($A25="","",IF(AND(Settings!$B$5="Yes",$C$37&gt;0),$J$36*C25/$C$37,0))</f>
        <v/>
      </c>
      <c r="L25" s="24">
        <f>IF($A25="","",J25+K25)</f>
        <v/>
      </c>
      <c r="M25" s="21">
        <f>IF(OR($A25="",N(C25)=0),"",L25/C25)</f>
        <v/>
      </c>
      <c r="N25" s="25">
        <f>IF(OR($A25="",$L$37=0),"",L25/$L$37)</f>
        <v/>
      </c>
    </row>
    <row r="26">
      <c r="A26" s="12" t="n"/>
      <c r="B26" s="19">
        <f>IF($A26="","",IFERROR(INDEX(Teams!$D$5:$D$104,MATCH(A26,Teams!$C$5:$C$104,0)),""))</f>
        <v/>
      </c>
      <c r="C26" s="23">
        <f>IF($A26="","",SUMIFS(Teams!$F$5:$F$104,Teams!$C$5:$C$104,A26&amp;""))</f>
        <v/>
      </c>
      <c r="D26" s="21">
        <f>IF($A26="","",SUMIFS('Seat roster'!$I$5:$I$304,'Seat roster'!$G$5:$G$304,$A26&amp;"",'Seat roster'!$C$5:$C$304,"Claude Code"))</f>
        <v/>
      </c>
      <c r="E26" s="21">
        <f>IF($A26="","",SUMIFS('Claude Code'!$J$5:$J$64,'Claude Code'!$I$5:$I$64,$A26&amp;""))</f>
        <v/>
      </c>
      <c r="F26" s="21">
        <f>IF($A26="","",SUMIFS('Seat roster'!$I$5:$I$304,'Seat roster'!$G$5:$G$304,$A26&amp;"",'Seat roster'!$C$5:$C$304,"Cursor"))</f>
        <v/>
      </c>
      <c r="G26" s="21">
        <f>IF($A26="","",SUMIFS('Seat roster'!$J$5:$J$304,'Seat roster'!$G$5:$G$304,$A26&amp;"",'Seat roster'!$C$5:$C$304,"Cursor"))</f>
        <v/>
      </c>
      <c r="H26" s="21">
        <f>IF($A26="","",SUMIFS('Seat roster'!$I$5:$I$304,'Seat roster'!$G$5:$G$304,$A26&amp;"",'Seat roster'!$C$5:$C$304,"GitHub Copilot"))</f>
        <v/>
      </c>
      <c r="I26" s="21">
        <f>IF($A26="","",SUMIFS('Seat roster'!$J$5:$J$304,'Seat roster'!$G$5:$G$304,$A26&amp;"",'Seat roster'!$C$5:$C$304,"GitHub Copilot"))</f>
        <v/>
      </c>
      <c r="J26" s="21">
        <f>IF($A26="","",SUM(D26:I26))</f>
        <v/>
      </c>
      <c r="K26" s="21">
        <f>IF($A26="","",IF(AND(Settings!$B$5="Yes",$C$37&gt;0),$J$36*C26/$C$37,0))</f>
        <v/>
      </c>
      <c r="L26" s="24">
        <f>IF($A26="","",J26+K26)</f>
        <v/>
      </c>
      <c r="M26" s="21">
        <f>IF(OR($A26="",N(C26)=0),"",L26/C26)</f>
        <v/>
      </c>
      <c r="N26" s="25">
        <f>IF(OR($A26="",$L$37=0),"",L26/$L$37)</f>
        <v/>
      </c>
    </row>
    <row r="27">
      <c r="A27" s="12" t="n"/>
      <c r="B27" s="19">
        <f>IF($A27="","",IFERROR(INDEX(Teams!$D$5:$D$104,MATCH(A27,Teams!$C$5:$C$104,0)),""))</f>
        <v/>
      </c>
      <c r="C27" s="23">
        <f>IF($A27="","",SUMIFS(Teams!$F$5:$F$104,Teams!$C$5:$C$104,A27&amp;""))</f>
        <v/>
      </c>
      <c r="D27" s="21">
        <f>IF($A27="","",SUMIFS('Seat roster'!$I$5:$I$304,'Seat roster'!$G$5:$G$304,$A27&amp;"",'Seat roster'!$C$5:$C$304,"Claude Code"))</f>
        <v/>
      </c>
      <c r="E27" s="21">
        <f>IF($A27="","",SUMIFS('Claude Code'!$J$5:$J$64,'Claude Code'!$I$5:$I$64,$A27&amp;""))</f>
        <v/>
      </c>
      <c r="F27" s="21">
        <f>IF($A27="","",SUMIFS('Seat roster'!$I$5:$I$304,'Seat roster'!$G$5:$G$304,$A27&amp;"",'Seat roster'!$C$5:$C$304,"Cursor"))</f>
        <v/>
      </c>
      <c r="G27" s="21">
        <f>IF($A27="","",SUMIFS('Seat roster'!$J$5:$J$304,'Seat roster'!$G$5:$G$304,$A27&amp;"",'Seat roster'!$C$5:$C$304,"Cursor"))</f>
        <v/>
      </c>
      <c r="H27" s="21">
        <f>IF($A27="","",SUMIFS('Seat roster'!$I$5:$I$304,'Seat roster'!$G$5:$G$304,$A27&amp;"",'Seat roster'!$C$5:$C$304,"GitHub Copilot"))</f>
        <v/>
      </c>
      <c r="I27" s="21">
        <f>IF($A27="","",SUMIFS('Seat roster'!$J$5:$J$304,'Seat roster'!$G$5:$G$304,$A27&amp;"",'Seat roster'!$C$5:$C$304,"GitHub Copilot"))</f>
        <v/>
      </c>
      <c r="J27" s="21">
        <f>IF($A27="","",SUM(D27:I27))</f>
        <v/>
      </c>
      <c r="K27" s="21">
        <f>IF($A27="","",IF(AND(Settings!$B$5="Yes",$C$37&gt;0),$J$36*C27/$C$37,0))</f>
        <v/>
      </c>
      <c r="L27" s="24">
        <f>IF($A27="","",J27+K27)</f>
        <v/>
      </c>
      <c r="M27" s="21">
        <f>IF(OR($A27="",N(C27)=0),"",L27/C27)</f>
        <v/>
      </c>
      <c r="N27" s="25">
        <f>IF(OR($A27="",$L$37=0),"",L27/$L$37)</f>
        <v/>
      </c>
    </row>
    <row r="28">
      <c r="A28" s="12" t="n"/>
      <c r="B28" s="19">
        <f>IF($A28="","",IFERROR(INDEX(Teams!$D$5:$D$104,MATCH(A28,Teams!$C$5:$C$104,0)),""))</f>
        <v/>
      </c>
      <c r="C28" s="23">
        <f>IF($A28="","",SUMIFS(Teams!$F$5:$F$104,Teams!$C$5:$C$104,A28&amp;""))</f>
        <v/>
      </c>
      <c r="D28" s="21">
        <f>IF($A28="","",SUMIFS('Seat roster'!$I$5:$I$304,'Seat roster'!$G$5:$G$304,$A28&amp;"",'Seat roster'!$C$5:$C$304,"Claude Code"))</f>
        <v/>
      </c>
      <c r="E28" s="21">
        <f>IF($A28="","",SUMIFS('Claude Code'!$J$5:$J$64,'Claude Code'!$I$5:$I$64,$A28&amp;""))</f>
        <v/>
      </c>
      <c r="F28" s="21">
        <f>IF($A28="","",SUMIFS('Seat roster'!$I$5:$I$304,'Seat roster'!$G$5:$G$304,$A28&amp;"",'Seat roster'!$C$5:$C$304,"Cursor"))</f>
        <v/>
      </c>
      <c r="G28" s="21">
        <f>IF($A28="","",SUMIFS('Seat roster'!$J$5:$J$304,'Seat roster'!$G$5:$G$304,$A28&amp;"",'Seat roster'!$C$5:$C$304,"Cursor"))</f>
        <v/>
      </c>
      <c r="H28" s="21">
        <f>IF($A28="","",SUMIFS('Seat roster'!$I$5:$I$304,'Seat roster'!$G$5:$G$304,$A28&amp;"",'Seat roster'!$C$5:$C$304,"GitHub Copilot"))</f>
        <v/>
      </c>
      <c r="I28" s="21">
        <f>IF($A28="","",SUMIFS('Seat roster'!$J$5:$J$304,'Seat roster'!$G$5:$G$304,$A28&amp;"",'Seat roster'!$C$5:$C$304,"GitHub Copilot"))</f>
        <v/>
      </c>
      <c r="J28" s="21">
        <f>IF($A28="","",SUM(D28:I28))</f>
        <v/>
      </c>
      <c r="K28" s="21">
        <f>IF($A28="","",IF(AND(Settings!$B$5="Yes",$C$37&gt;0),$J$36*C28/$C$37,0))</f>
        <v/>
      </c>
      <c r="L28" s="24">
        <f>IF($A28="","",J28+K28)</f>
        <v/>
      </c>
      <c r="M28" s="21">
        <f>IF(OR($A28="",N(C28)=0),"",L28/C28)</f>
        <v/>
      </c>
      <c r="N28" s="25">
        <f>IF(OR($A28="",$L$37=0),"",L28/$L$37)</f>
        <v/>
      </c>
    </row>
    <row r="29">
      <c r="A29" s="12" t="n"/>
      <c r="B29" s="19">
        <f>IF($A29="","",IFERROR(INDEX(Teams!$D$5:$D$104,MATCH(A29,Teams!$C$5:$C$104,0)),""))</f>
        <v/>
      </c>
      <c r="C29" s="23">
        <f>IF($A29="","",SUMIFS(Teams!$F$5:$F$104,Teams!$C$5:$C$104,A29&amp;""))</f>
        <v/>
      </c>
      <c r="D29" s="21">
        <f>IF($A29="","",SUMIFS('Seat roster'!$I$5:$I$304,'Seat roster'!$G$5:$G$304,$A29&amp;"",'Seat roster'!$C$5:$C$304,"Claude Code"))</f>
        <v/>
      </c>
      <c r="E29" s="21">
        <f>IF($A29="","",SUMIFS('Claude Code'!$J$5:$J$64,'Claude Code'!$I$5:$I$64,$A29&amp;""))</f>
        <v/>
      </c>
      <c r="F29" s="21">
        <f>IF($A29="","",SUMIFS('Seat roster'!$I$5:$I$304,'Seat roster'!$G$5:$G$304,$A29&amp;"",'Seat roster'!$C$5:$C$304,"Cursor"))</f>
        <v/>
      </c>
      <c r="G29" s="21">
        <f>IF($A29="","",SUMIFS('Seat roster'!$J$5:$J$304,'Seat roster'!$G$5:$G$304,$A29&amp;"",'Seat roster'!$C$5:$C$304,"Cursor"))</f>
        <v/>
      </c>
      <c r="H29" s="21">
        <f>IF($A29="","",SUMIFS('Seat roster'!$I$5:$I$304,'Seat roster'!$G$5:$G$304,$A29&amp;"",'Seat roster'!$C$5:$C$304,"GitHub Copilot"))</f>
        <v/>
      </c>
      <c r="I29" s="21">
        <f>IF($A29="","",SUMIFS('Seat roster'!$J$5:$J$304,'Seat roster'!$G$5:$G$304,$A29&amp;"",'Seat roster'!$C$5:$C$304,"GitHub Copilot"))</f>
        <v/>
      </c>
      <c r="J29" s="21">
        <f>IF($A29="","",SUM(D29:I29))</f>
        <v/>
      </c>
      <c r="K29" s="21">
        <f>IF($A29="","",IF(AND(Settings!$B$5="Yes",$C$37&gt;0),$J$36*C29/$C$37,0))</f>
        <v/>
      </c>
      <c r="L29" s="24">
        <f>IF($A29="","",J29+K29)</f>
        <v/>
      </c>
      <c r="M29" s="21">
        <f>IF(OR($A29="",N(C29)=0),"",L29/C29)</f>
        <v/>
      </c>
      <c r="N29" s="25">
        <f>IF(OR($A29="",$L$37=0),"",L29/$L$37)</f>
        <v/>
      </c>
    </row>
    <row r="30">
      <c r="A30" s="12" t="n"/>
      <c r="B30" s="19">
        <f>IF($A30="","",IFERROR(INDEX(Teams!$D$5:$D$104,MATCH(A30,Teams!$C$5:$C$104,0)),""))</f>
        <v/>
      </c>
      <c r="C30" s="23">
        <f>IF($A30="","",SUMIFS(Teams!$F$5:$F$104,Teams!$C$5:$C$104,A30&amp;""))</f>
        <v/>
      </c>
      <c r="D30" s="21">
        <f>IF($A30="","",SUMIFS('Seat roster'!$I$5:$I$304,'Seat roster'!$G$5:$G$304,$A30&amp;"",'Seat roster'!$C$5:$C$304,"Claude Code"))</f>
        <v/>
      </c>
      <c r="E30" s="21">
        <f>IF($A30="","",SUMIFS('Claude Code'!$J$5:$J$64,'Claude Code'!$I$5:$I$64,$A30&amp;""))</f>
        <v/>
      </c>
      <c r="F30" s="21">
        <f>IF($A30="","",SUMIFS('Seat roster'!$I$5:$I$304,'Seat roster'!$G$5:$G$304,$A30&amp;"",'Seat roster'!$C$5:$C$304,"Cursor"))</f>
        <v/>
      </c>
      <c r="G30" s="21">
        <f>IF($A30="","",SUMIFS('Seat roster'!$J$5:$J$304,'Seat roster'!$G$5:$G$304,$A30&amp;"",'Seat roster'!$C$5:$C$304,"Cursor"))</f>
        <v/>
      </c>
      <c r="H30" s="21">
        <f>IF($A30="","",SUMIFS('Seat roster'!$I$5:$I$304,'Seat roster'!$G$5:$G$304,$A30&amp;"",'Seat roster'!$C$5:$C$304,"GitHub Copilot"))</f>
        <v/>
      </c>
      <c r="I30" s="21">
        <f>IF($A30="","",SUMIFS('Seat roster'!$J$5:$J$304,'Seat roster'!$G$5:$G$304,$A30&amp;"",'Seat roster'!$C$5:$C$304,"GitHub Copilot"))</f>
        <v/>
      </c>
      <c r="J30" s="21">
        <f>IF($A30="","",SUM(D30:I30))</f>
        <v/>
      </c>
      <c r="K30" s="21">
        <f>IF($A30="","",IF(AND(Settings!$B$5="Yes",$C$37&gt;0),$J$36*C30/$C$37,0))</f>
        <v/>
      </c>
      <c r="L30" s="24">
        <f>IF($A30="","",J30+K30)</f>
        <v/>
      </c>
      <c r="M30" s="21">
        <f>IF(OR($A30="",N(C30)=0),"",L30/C30)</f>
        <v/>
      </c>
      <c r="N30" s="25">
        <f>IF(OR($A30="",$L$37=0),"",L30/$L$37)</f>
        <v/>
      </c>
    </row>
    <row r="31">
      <c r="A31" s="12" t="n"/>
      <c r="B31" s="19">
        <f>IF($A31="","",IFERROR(INDEX(Teams!$D$5:$D$104,MATCH(A31,Teams!$C$5:$C$104,0)),""))</f>
        <v/>
      </c>
      <c r="C31" s="23">
        <f>IF($A31="","",SUMIFS(Teams!$F$5:$F$104,Teams!$C$5:$C$104,A31&amp;""))</f>
        <v/>
      </c>
      <c r="D31" s="21">
        <f>IF($A31="","",SUMIFS('Seat roster'!$I$5:$I$304,'Seat roster'!$G$5:$G$304,$A31&amp;"",'Seat roster'!$C$5:$C$304,"Claude Code"))</f>
        <v/>
      </c>
      <c r="E31" s="21">
        <f>IF($A31="","",SUMIFS('Claude Code'!$J$5:$J$64,'Claude Code'!$I$5:$I$64,$A31&amp;""))</f>
        <v/>
      </c>
      <c r="F31" s="21">
        <f>IF($A31="","",SUMIFS('Seat roster'!$I$5:$I$304,'Seat roster'!$G$5:$G$304,$A31&amp;"",'Seat roster'!$C$5:$C$304,"Cursor"))</f>
        <v/>
      </c>
      <c r="G31" s="21">
        <f>IF($A31="","",SUMIFS('Seat roster'!$J$5:$J$304,'Seat roster'!$G$5:$G$304,$A31&amp;"",'Seat roster'!$C$5:$C$304,"Cursor"))</f>
        <v/>
      </c>
      <c r="H31" s="21">
        <f>IF($A31="","",SUMIFS('Seat roster'!$I$5:$I$304,'Seat roster'!$G$5:$G$304,$A31&amp;"",'Seat roster'!$C$5:$C$304,"GitHub Copilot"))</f>
        <v/>
      </c>
      <c r="I31" s="21">
        <f>IF($A31="","",SUMIFS('Seat roster'!$J$5:$J$304,'Seat roster'!$G$5:$G$304,$A31&amp;"",'Seat roster'!$C$5:$C$304,"GitHub Copilot"))</f>
        <v/>
      </c>
      <c r="J31" s="21">
        <f>IF($A31="","",SUM(D31:I31))</f>
        <v/>
      </c>
      <c r="K31" s="21">
        <f>IF($A31="","",IF(AND(Settings!$B$5="Yes",$C$37&gt;0),$J$36*C31/$C$37,0))</f>
        <v/>
      </c>
      <c r="L31" s="24">
        <f>IF($A31="","",J31+K31)</f>
        <v/>
      </c>
      <c r="M31" s="21">
        <f>IF(OR($A31="",N(C31)=0),"",L31/C31)</f>
        <v/>
      </c>
      <c r="N31" s="25">
        <f>IF(OR($A31="",$L$37=0),"",L31/$L$37)</f>
        <v/>
      </c>
    </row>
    <row r="32">
      <c r="A32" s="12" t="n"/>
      <c r="B32" s="19">
        <f>IF($A32="","",IFERROR(INDEX(Teams!$D$5:$D$104,MATCH(A32,Teams!$C$5:$C$104,0)),""))</f>
        <v/>
      </c>
      <c r="C32" s="23">
        <f>IF($A32="","",SUMIFS(Teams!$F$5:$F$104,Teams!$C$5:$C$104,A32&amp;""))</f>
        <v/>
      </c>
      <c r="D32" s="21">
        <f>IF($A32="","",SUMIFS('Seat roster'!$I$5:$I$304,'Seat roster'!$G$5:$G$304,$A32&amp;"",'Seat roster'!$C$5:$C$304,"Claude Code"))</f>
        <v/>
      </c>
      <c r="E32" s="21">
        <f>IF($A32="","",SUMIFS('Claude Code'!$J$5:$J$64,'Claude Code'!$I$5:$I$64,$A32&amp;""))</f>
        <v/>
      </c>
      <c r="F32" s="21">
        <f>IF($A32="","",SUMIFS('Seat roster'!$I$5:$I$304,'Seat roster'!$G$5:$G$304,$A32&amp;"",'Seat roster'!$C$5:$C$304,"Cursor"))</f>
        <v/>
      </c>
      <c r="G32" s="21">
        <f>IF($A32="","",SUMIFS('Seat roster'!$J$5:$J$304,'Seat roster'!$G$5:$G$304,$A32&amp;"",'Seat roster'!$C$5:$C$304,"Cursor"))</f>
        <v/>
      </c>
      <c r="H32" s="21">
        <f>IF($A32="","",SUMIFS('Seat roster'!$I$5:$I$304,'Seat roster'!$G$5:$G$304,$A32&amp;"",'Seat roster'!$C$5:$C$304,"GitHub Copilot"))</f>
        <v/>
      </c>
      <c r="I32" s="21">
        <f>IF($A32="","",SUMIFS('Seat roster'!$J$5:$J$304,'Seat roster'!$G$5:$G$304,$A32&amp;"",'Seat roster'!$C$5:$C$304,"GitHub Copilot"))</f>
        <v/>
      </c>
      <c r="J32" s="21">
        <f>IF($A32="","",SUM(D32:I32))</f>
        <v/>
      </c>
      <c r="K32" s="21">
        <f>IF($A32="","",IF(AND(Settings!$B$5="Yes",$C$37&gt;0),$J$36*C32/$C$37,0))</f>
        <v/>
      </c>
      <c r="L32" s="24">
        <f>IF($A32="","",J32+K32)</f>
        <v/>
      </c>
      <c r="M32" s="21">
        <f>IF(OR($A32="",N(C32)=0),"",L32/C32)</f>
        <v/>
      </c>
      <c r="N32" s="25">
        <f>IF(OR($A32="",$L$37=0),"",L32/$L$37)</f>
        <v/>
      </c>
    </row>
    <row r="33">
      <c r="A33" s="12" t="n"/>
      <c r="B33" s="19">
        <f>IF($A33="","",IFERROR(INDEX(Teams!$D$5:$D$104,MATCH(A33,Teams!$C$5:$C$104,0)),""))</f>
        <v/>
      </c>
      <c r="C33" s="23">
        <f>IF($A33="","",SUMIFS(Teams!$F$5:$F$104,Teams!$C$5:$C$104,A33&amp;""))</f>
        <v/>
      </c>
      <c r="D33" s="21">
        <f>IF($A33="","",SUMIFS('Seat roster'!$I$5:$I$304,'Seat roster'!$G$5:$G$304,$A33&amp;"",'Seat roster'!$C$5:$C$304,"Claude Code"))</f>
        <v/>
      </c>
      <c r="E33" s="21">
        <f>IF($A33="","",SUMIFS('Claude Code'!$J$5:$J$64,'Claude Code'!$I$5:$I$64,$A33&amp;""))</f>
        <v/>
      </c>
      <c r="F33" s="21">
        <f>IF($A33="","",SUMIFS('Seat roster'!$I$5:$I$304,'Seat roster'!$G$5:$G$304,$A33&amp;"",'Seat roster'!$C$5:$C$304,"Cursor"))</f>
        <v/>
      </c>
      <c r="G33" s="21">
        <f>IF($A33="","",SUMIFS('Seat roster'!$J$5:$J$304,'Seat roster'!$G$5:$G$304,$A33&amp;"",'Seat roster'!$C$5:$C$304,"Cursor"))</f>
        <v/>
      </c>
      <c r="H33" s="21">
        <f>IF($A33="","",SUMIFS('Seat roster'!$I$5:$I$304,'Seat roster'!$G$5:$G$304,$A33&amp;"",'Seat roster'!$C$5:$C$304,"GitHub Copilot"))</f>
        <v/>
      </c>
      <c r="I33" s="21">
        <f>IF($A33="","",SUMIFS('Seat roster'!$J$5:$J$304,'Seat roster'!$G$5:$G$304,$A33&amp;"",'Seat roster'!$C$5:$C$304,"GitHub Copilot"))</f>
        <v/>
      </c>
      <c r="J33" s="21">
        <f>IF($A33="","",SUM(D33:I33))</f>
        <v/>
      </c>
      <c r="K33" s="21">
        <f>IF($A33="","",IF(AND(Settings!$B$5="Yes",$C$37&gt;0),$J$36*C33/$C$37,0))</f>
        <v/>
      </c>
      <c r="L33" s="24">
        <f>IF($A33="","",J33+K33)</f>
        <v/>
      </c>
      <c r="M33" s="21">
        <f>IF(OR($A33="",N(C33)=0),"",L33/C33)</f>
        <v/>
      </c>
      <c r="N33" s="25">
        <f>IF(OR($A33="",$L$37=0),"",L33/$L$37)</f>
        <v/>
      </c>
    </row>
    <row r="34">
      <c r="A34" s="12" t="n"/>
      <c r="B34" s="19">
        <f>IF($A34="","",IFERROR(INDEX(Teams!$D$5:$D$104,MATCH(A34,Teams!$C$5:$C$104,0)),""))</f>
        <v/>
      </c>
      <c r="C34" s="23">
        <f>IF($A34="","",SUMIFS(Teams!$F$5:$F$104,Teams!$C$5:$C$104,A34&amp;""))</f>
        <v/>
      </c>
      <c r="D34" s="21">
        <f>IF($A34="","",SUMIFS('Seat roster'!$I$5:$I$304,'Seat roster'!$G$5:$G$304,$A34&amp;"",'Seat roster'!$C$5:$C$304,"Claude Code"))</f>
        <v/>
      </c>
      <c r="E34" s="21">
        <f>IF($A34="","",SUMIFS('Claude Code'!$J$5:$J$64,'Claude Code'!$I$5:$I$64,$A34&amp;""))</f>
        <v/>
      </c>
      <c r="F34" s="21">
        <f>IF($A34="","",SUMIFS('Seat roster'!$I$5:$I$304,'Seat roster'!$G$5:$G$304,$A34&amp;"",'Seat roster'!$C$5:$C$304,"Cursor"))</f>
        <v/>
      </c>
      <c r="G34" s="21">
        <f>IF($A34="","",SUMIFS('Seat roster'!$J$5:$J$304,'Seat roster'!$G$5:$G$304,$A34&amp;"",'Seat roster'!$C$5:$C$304,"Cursor"))</f>
        <v/>
      </c>
      <c r="H34" s="21">
        <f>IF($A34="","",SUMIFS('Seat roster'!$I$5:$I$304,'Seat roster'!$G$5:$G$304,$A34&amp;"",'Seat roster'!$C$5:$C$304,"GitHub Copilot"))</f>
        <v/>
      </c>
      <c r="I34" s="21">
        <f>IF($A34="","",SUMIFS('Seat roster'!$J$5:$J$304,'Seat roster'!$G$5:$G$304,$A34&amp;"",'Seat roster'!$C$5:$C$304,"GitHub Copilot"))</f>
        <v/>
      </c>
      <c r="J34" s="21">
        <f>IF($A34="","",SUM(D34:I34))</f>
        <v/>
      </c>
      <c r="K34" s="21">
        <f>IF($A34="","",IF(AND(Settings!$B$5="Yes",$C$37&gt;0),$J$36*C34/$C$37,0))</f>
        <v/>
      </c>
      <c r="L34" s="24">
        <f>IF($A34="","",J34+K34)</f>
        <v/>
      </c>
      <c r="M34" s="21">
        <f>IF(OR($A34="",N(C34)=0),"",L34/C34)</f>
        <v/>
      </c>
      <c r="N34" s="25">
        <f>IF(OR($A34="",$L$37=0),"",L34/$L$37)</f>
        <v/>
      </c>
    </row>
    <row r="35">
      <c r="A35" s="12" t="n"/>
      <c r="B35" s="19">
        <f>IF($A35="","",IFERROR(INDEX(Teams!$D$5:$D$104,MATCH(A35,Teams!$C$5:$C$104,0)),""))</f>
        <v/>
      </c>
      <c r="C35" s="23">
        <f>IF($A35="","",SUMIFS(Teams!$F$5:$F$104,Teams!$C$5:$C$104,A35&amp;""))</f>
        <v/>
      </c>
      <c r="D35" s="21">
        <f>IF($A35="","",SUMIFS('Seat roster'!$I$5:$I$304,'Seat roster'!$G$5:$G$304,$A35&amp;"",'Seat roster'!$C$5:$C$304,"Claude Code"))</f>
        <v/>
      </c>
      <c r="E35" s="21">
        <f>IF($A35="","",SUMIFS('Claude Code'!$J$5:$J$64,'Claude Code'!$I$5:$I$64,$A35&amp;""))</f>
        <v/>
      </c>
      <c r="F35" s="21">
        <f>IF($A35="","",SUMIFS('Seat roster'!$I$5:$I$304,'Seat roster'!$G$5:$G$304,$A35&amp;"",'Seat roster'!$C$5:$C$304,"Cursor"))</f>
        <v/>
      </c>
      <c r="G35" s="21">
        <f>IF($A35="","",SUMIFS('Seat roster'!$J$5:$J$304,'Seat roster'!$G$5:$G$304,$A35&amp;"",'Seat roster'!$C$5:$C$304,"Cursor"))</f>
        <v/>
      </c>
      <c r="H35" s="21">
        <f>IF($A35="","",SUMIFS('Seat roster'!$I$5:$I$304,'Seat roster'!$G$5:$G$304,$A35&amp;"",'Seat roster'!$C$5:$C$304,"GitHub Copilot"))</f>
        <v/>
      </c>
      <c r="I35" s="21">
        <f>IF($A35="","",SUMIFS('Seat roster'!$J$5:$J$304,'Seat roster'!$G$5:$G$304,$A35&amp;"",'Seat roster'!$C$5:$C$304,"GitHub Copilot"))</f>
        <v/>
      </c>
      <c r="J35" s="21">
        <f>IF($A35="","",SUM(D35:I35))</f>
        <v/>
      </c>
      <c r="K35" s="21">
        <f>IF($A35="","",IF(AND(Settings!$B$5="Yes",$C$37&gt;0),$J$36*C35/$C$37,0))</f>
        <v/>
      </c>
      <c r="L35" s="24">
        <f>IF($A35="","",J35+K35)</f>
        <v/>
      </c>
      <c r="M35" s="21">
        <f>IF(OR($A35="",N(C35)=0),"",L35/C35)</f>
        <v/>
      </c>
      <c r="N35" s="25">
        <f>IF(OR($A35="",$L$37=0),"",L35/$L$37)</f>
        <v/>
      </c>
    </row>
    <row r="36">
      <c r="A36" s="6" t="inlineStr">
        <is>
          <t>Unmapped</t>
        </is>
      </c>
      <c r="B36" s="26" t="inlineStr">
        <is>
          <t>Teams or people not in the Teams sheet</t>
        </is>
      </c>
      <c r="C36" s="14" t="n"/>
      <c r="D36" s="21">
        <f>IF($A36="","",SUMIFS('Seat roster'!$I$5:$I$304,'Seat roster'!$G$5:$G$304,$A36&amp;"",'Seat roster'!$C$5:$C$304,"Claude Code"))</f>
        <v/>
      </c>
      <c r="E36" s="21">
        <f>IF($A36="","",SUMIFS('Claude Code'!$J$5:$J$64,'Claude Code'!$I$5:$I$64,$A36&amp;""))</f>
        <v/>
      </c>
      <c r="F36" s="21">
        <f>IF($A36="","",SUMIFS('Seat roster'!$I$5:$I$304,'Seat roster'!$G$5:$G$304,$A36&amp;"",'Seat roster'!$C$5:$C$304,"Cursor"))</f>
        <v/>
      </c>
      <c r="G36" s="21">
        <f>IF($A36="","",SUMIFS('Seat roster'!$J$5:$J$304,'Seat roster'!$G$5:$G$304,$A36&amp;"",'Seat roster'!$C$5:$C$304,"Cursor"))</f>
        <v/>
      </c>
      <c r="H36" s="21">
        <f>IF($A36="","",SUMIFS('Seat roster'!$I$5:$I$304,'Seat roster'!$G$5:$G$304,$A36&amp;"",'Seat roster'!$C$5:$C$304,"GitHub Copilot"))</f>
        <v/>
      </c>
      <c r="I36" s="21">
        <f>IF($A36="","",SUMIFS('Seat roster'!$J$5:$J$304,'Seat roster'!$G$5:$G$304,$A36&amp;"",'Seat roster'!$C$5:$C$304,"GitHub Copilot"))</f>
        <v/>
      </c>
      <c r="J36" s="21">
        <f>IF($A36="","",SUM(D36:I36))</f>
        <v/>
      </c>
      <c r="K36" s="21">
        <f>IF(AND(Settings!$B$5="Yes",$C$37&gt;0),-J36,0)</f>
        <v/>
      </c>
      <c r="L36" s="24">
        <f>J36+K36</f>
        <v/>
      </c>
      <c r="M36" s="14" t="inlineStr"/>
      <c r="N36" s="25">
        <f>IF($L$37=0,"",L36/$L$37)</f>
        <v/>
      </c>
    </row>
    <row r="37">
      <c r="A37" s="27" t="inlineStr">
        <is>
          <t>Total</t>
        </is>
      </c>
      <c r="B37" s="28" t="n"/>
      <c r="C37" s="29">
        <f>SUM(C6:C36)</f>
        <v/>
      </c>
      <c r="D37" s="22">
        <f>SUM(D6:D36)</f>
        <v/>
      </c>
      <c r="E37" s="22">
        <f>SUM(E6:E36)</f>
        <v/>
      </c>
      <c r="F37" s="22">
        <f>SUM(F6:F36)</f>
        <v/>
      </c>
      <c r="G37" s="22">
        <f>SUM(G6:G36)</f>
        <v/>
      </c>
      <c r="H37" s="22">
        <f>SUM(H6:H36)</f>
        <v/>
      </c>
      <c r="I37" s="22">
        <f>SUM(I6:I36)</f>
        <v/>
      </c>
      <c r="J37" s="22">
        <f>SUM(J6:J36)</f>
        <v/>
      </c>
      <c r="K37" s="22">
        <f>SUM(K6:K36)</f>
        <v/>
      </c>
      <c r="L37" s="22">
        <f>SUM(L6:L36)</f>
        <v/>
      </c>
      <c r="M37" s="22">
        <f>IF(N(C37)=0,"",L37/C37)</f>
        <v/>
      </c>
      <c r="N37" s="30">
        <f>IF(L37=0,"",SUM(N6:N36))</f>
        <v/>
      </c>
    </row>
    <row r="38">
      <c r="A38" s="6" t="inlineStr">
        <is>
          <t>Check</t>
        </is>
      </c>
      <c r="B38" s="26" t="inlineStr">
        <is>
          <t>Cost on cost centres missing from column A (should be 0)</t>
        </is>
      </c>
      <c r="L38" s="31">
        <f>SUM('Seat roster'!K5:K304)+SUM('Claude Code'!J5:J64)-L37</f>
        <v/>
      </c>
    </row>
    <row r="40">
      <c r="A40" s="10" t="inlineStr">
        <is>
          <t>Reconciliation to invoices</t>
        </is>
      </c>
    </row>
    <row r="41">
      <c r="A41" s="32" t="inlineStr">
        <is>
          <t>Tool</t>
        </is>
      </c>
      <c r="B41" s="32" t="inlineStr">
        <is>
          <t>Seats allocated</t>
        </is>
      </c>
      <c r="C41" s="32" t="inlineStr">
        <is>
          <t>Seats on invoice</t>
        </is>
      </c>
      <c r="D41" s="32" t="inlineStr">
        <is>
          <t>Seat difference</t>
        </is>
      </c>
      <c r="E41" s="32" t="inlineStr">
        <is>
          <t>Usage allocated</t>
        </is>
      </c>
      <c r="F41" s="32" t="inlineStr">
        <is>
          <t>Usage on invoice</t>
        </is>
      </c>
      <c r="G41" s="32" t="inlineStr">
        <is>
          <t>Usage difference</t>
        </is>
      </c>
      <c r="H41" s="32" t="inlineStr">
        <is>
          <t>Status</t>
        </is>
      </c>
    </row>
    <row r="42">
      <c r="A42" s="6" t="inlineStr">
        <is>
          <t>Claude Code</t>
        </is>
      </c>
      <c r="B42" s="21">
        <f>SUMIFS('Seat roster'!$I$5:$I$304,'Seat roster'!$C$5:$C$304,A42&amp;"")</f>
        <v/>
      </c>
      <c r="C42" s="20">
        <f>IF(Settings!B29="","",Settings!B29)</f>
        <v/>
      </c>
      <c r="D42" s="21">
        <f>IF(C42="","",B42-C42)</f>
        <v/>
      </c>
      <c r="E42" s="21">
        <f>SUM('Claude Code'!$J$5:$J$64)</f>
        <v/>
      </c>
      <c r="F42" s="20">
        <f>IF(Settings!C29="","",Settings!C29)</f>
        <v/>
      </c>
      <c r="G42" s="21">
        <f>IF(F42="","",E42-F42)</f>
        <v/>
      </c>
      <c r="H42" s="14">
        <f>IF(AND(C42="",F42=""),"No invoice entered",IF(AND(ABS(N(D42))&lt;0.01,ABS(N(G42))&lt;0.01),"Reconciled","Explain the difference"))</f>
        <v/>
      </c>
    </row>
    <row r="43">
      <c r="A43" s="6" t="inlineStr">
        <is>
          <t>Cursor</t>
        </is>
      </c>
      <c r="B43" s="21">
        <f>SUMIFS('Seat roster'!$I$5:$I$304,'Seat roster'!$C$5:$C$304,A43&amp;"")</f>
        <v/>
      </c>
      <c r="C43" s="20">
        <f>IF(Settings!B30="","",Settings!B30)</f>
        <v/>
      </c>
      <c r="D43" s="21">
        <f>IF(C43="","",B43-C43)</f>
        <v/>
      </c>
      <c r="E43" s="21">
        <f>SUMIFS('Seat roster'!$J$5:$J$304,'Seat roster'!$C$5:$C$304,A43&amp;"")</f>
        <v/>
      </c>
      <c r="F43" s="20">
        <f>IF(Settings!C30="","",Settings!C30)</f>
        <v/>
      </c>
      <c r="G43" s="21">
        <f>IF(F43="","",E43-F43)</f>
        <v/>
      </c>
      <c r="H43" s="14">
        <f>IF(AND(C43="",F43=""),"No invoice entered",IF(AND(ABS(N(D43))&lt;0.01,ABS(N(G43))&lt;0.01),"Reconciled","Explain the difference"))</f>
        <v/>
      </c>
    </row>
    <row r="44">
      <c r="A44" s="6" t="inlineStr">
        <is>
          <t>GitHub Copilot</t>
        </is>
      </c>
      <c r="B44" s="21">
        <f>SUMIFS('Seat roster'!$I$5:$I$304,'Seat roster'!$C$5:$C$304,A44&amp;"")</f>
        <v/>
      </c>
      <c r="C44" s="20">
        <f>IF(Settings!B31="","",Settings!B31)</f>
        <v/>
      </c>
      <c r="D44" s="21">
        <f>IF(C44="","",B44-C44)</f>
        <v/>
      </c>
      <c r="E44" s="21">
        <f>SUMIFS('Seat roster'!$J$5:$J$304,'Seat roster'!$C$5:$C$304,A44&amp;"")</f>
        <v/>
      </c>
      <c r="F44" s="20">
        <f>IF(Settings!C31="","",Settings!C31)</f>
        <v/>
      </c>
      <c r="G44" s="21">
        <f>IF(F44="","",E44-F44)</f>
        <v/>
      </c>
      <c r="H44" s="14">
        <f>IF(AND(C44="",F44=""),"No invoice entered",IF(AND(ABS(N(D44))&lt;0.01,ABS(N(G44))&lt;0.01),"Reconciled","Explain the difference"))</f>
        <v/>
      </c>
    </row>
    <row r="46">
      <c r="A46" s="8" t="inlineStr">
        <is>
          <t>Usage allocated matches the invoice whenever the invoice is entered, because usage is split in proportion to measurement. Seat differences point to missing roster rows, wrong tiers, proration or contract discounts.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8"/>
  <sheetViews>
    <sheetView showGridLines="1" workbookViewId="0">
      <selection activeCell="A1" sqref="A1"/>
    </sheetView>
  </sheetViews>
  <sheetFormatPr baseColWidth="8" defaultRowHeight="15"/>
  <cols>
    <col width="12" customWidth="1" min="1" max="1"/>
    <col width="30" customWidth="1" min="2" max="2"/>
    <col width="16" customWidth="1" min="3" max="3"/>
    <col width="14" customWidth="1" min="4" max="4"/>
    <col width="14" customWidth="1" min="5" max="5"/>
    <col width="60" customWidth="1" min="6" max="6"/>
  </cols>
  <sheetData>
    <row r="1">
      <c r="A1" s="5" t="inlineStr">
        <is>
          <t>Journal lines</t>
        </is>
      </c>
    </row>
    <row r="2">
      <c r="A2" s="8" t="inlineStr">
        <is>
          <t>One debit per cost centre with a charge, and one balancing credit. Blank rows are cost centres with no charge. Filter them out before import.</t>
        </is>
      </c>
    </row>
    <row r="4" ht="32" customHeight="1">
      <c r="A4" s="11" t="inlineStr">
        <is>
          <t>Period</t>
        </is>
      </c>
      <c r="B4" s="11" t="inlineStr">
        <is>
          <t>Account</t>
        </is>
      </c>
      <c r="C4" s="11" t="inlineStr">
        <is>
          <t>Cost centre</t>
        </is>
      </c>
      <c r="D4" s="11" t="inlineStr">
        <is>
          <t>Debit ($)</t>
        </is>
      </c>
      <c r="E4" s="11" t="inlineStr">
        <is>
          <t>Credit ($)</t>
        </is>
      </c>
      <c r="F4" s="11" t="inlineStr">
        <is>
          <t>Memo</t>
        </is>
      </c>
    </row>
    <row r="5">
      <c r="A5" s="19">
        <f>IF(OR(Chargeback!$A6="",N(Chargeback!$L6)=0),"",Settings!$B$3)</f>
        <v/>
      </c>
      <c r="B5" s="19">
        <f>IF(OR(Chargeback!$A6="",N(Chargeback!$L6)=0),"",Settings!$B$6)</f>
        <v/>
      </c>
      <c r="C5" s="19">
        <f>IF(OR(Chargeback!$A6="",N(Chargeback!$L6)=0),"",Chargeback!$A6)</f>
        <v/>
      </c>
      <c r="D5" s="21">
        <f>IF(OR(Chargeback!$A6="",N(Chargeback!$L6)=0),"",ROUND(Chargeback!$L6,2))</f>
        <v/>
      </c>
      <c r="E5" s="14" t="n"/>
      <c r="F5" s="14">
        <f>IF(OR(Chargeback!$A6="",N(Chargeback!$L6)=0),"","AI coding tools chargeback "&amp;Settings!$B$3&amp;IF(Chargeback!$B6="",""," - "&amp;Chargeback!$B6))</f>
        <v/>
      </c>
    </row>
    <row r="6">
      <c r="A6" s="19">
        <f>IF(OR(Chargeback!$A7="",N(Chargeback!$L7)=0),"",Settings!$B$3)</f>
        <v/>
      </c>
      <c r="B6" s="19">
        <f>IF(OR(Chargeback!$A7="",N(Chargeback!$L7)=0),"",Settings!$B$6)</f>
        <v/>
      </c>
      <c r="C6" s="19">
        <f>IF(OR(Chargeback!$A7="",N(Chargeback!$L7)=0),"",Chargeback!$A7)</f>
        <v/>
      </c>
      <c r="D6" s="21">
        <f>IF(OR(Chargeback!$A7="",N(Chargeback!$L7)=0),"",ROUND(Chargeback!$L7,2))</f>
        <v/>
      </c>
      <c r="E6" s="14" t="n"/>
      <c r="F6" s="14">
        <f>IF(OR(Chargeback!$A7="",N(Chargeback!$L7)=0),"","AI coding tools chargeback "&amp;Settings!$B$3&amp;IF(Chargeback!$B7="",""," - "&amp;Chargeback!$B7))</f>
        <v/>
      </c>
    </row>
    <row r="7">
      <c r="A7" s="19">
        <f>IF(OR(Chargeback!$A8="",N(Chargeback!$L8)=0),"",Settings!$B$3)</f>
        <v/>
      </c>
      <c r="B7" s="19">
        <f>IF(OR(Chargeback!$A8="",N(Chargeback!$L8)=0),"",Settings!$B$6)</f>
        <v/>
      </c>
      <c r="C7" s="19">
        <f>IF(OR(Chargeback!$A8="",N(Chargeback!$L8)=0),"",Chargeback!$A8)</f>
        <v/>
      </c>
      <c r="D7" s="21">
        <f>IF(OR(Chargeback!$A8="",N(Chargeback!$L8)=0),"",ROUND(Chargeback!$L8,2))</f>
        <v/>
      </c>
      <c r="E7" s="14" t="n"/>
      <c r="F7" s="14">
        <f>IF(OR(Chargeback!$A8="",N(Chargeback!$L8)=0),"","AI coding tools chargeback "&amp;Settings!$B$3&amp;IF(Chargeback!$B8="",""," - "&amp;Chargeback!$B8))</f>
        <v/>
      </c>
    </row>
    <row r="8">
      <c r="A8" s="19">
        <f>IF(OR(Chargeback!$A9="",N(Chargeback!$L9)=0),"",Settings!$B$3)</f>
        <v/>
      </c>
      <c r="B8" s="19">
        <f>IF(OR(Chargeback!$A9="",N(Chargeback!$L9)=0),"",Settings!$B$6)</f>
        <v/>
      </c>
      <c r="C8" s="19">
        <f>IF(OR(Chargeback!$A9="",N(Chargeback!$L9)=0),"",Chargeback!$A9)</f>
        <v/>
      </c>
      <c r="D8" s="21">
        <f>IF(OR(Chargeback!$A9="",N(Chargeback!$L9)=0),"",ROUND(Chargeback!$L9,2))</f>
        <v/>
      </c>
      <c r="E8" s="14" t="n"/>
      <c r="F8" s="14">
        <f>IF(OR(Chargeback!$A9="",N(Chargeback!$L9)=0),"","AI coding tools chargeback "&amp;Settings!$B$3&amp;IF(Chargeback!$B9="",""," - "&amp;Chargeback!$B9))</f>
        <v/>
      </c>
    </row>
    <row r="9">
      <c r="A9" s="19">
        <f>IF(OR(Chargeback!$A10="",N(Chargeback!$L10)=0),"",Settings!$B$3)</f>
        <v/>
      </c>
      <c r="B9" s="19">
        <f>IF(OR(Chargeback!$A10="",N(Chargeback!$L10)=0),"",Settings!$B$6)</f>
        <v/>
      </c>
      <c r="C9" s="19">
        <f>IF(OR(Chargeback!$A10="",N(Chargeback!$L10)=0),"",Chargeback!$A10)</f>
        <v/>
      </c>
      <c r="D9" s="21">
        <f>IF(OR(Chargeback!$A10="",N(Chargeback!$L10)=0),"",ROUND(Chargeback!$L10,2))</f>
        <v/>
      </c>
      <c r="E9" s="14" t="n"/>
      <c r="F9" s="14">
        <f>IF(OR(Chargeback!$A10="",N(Chargeback!$L10)=0),"","AI coding tools chargeback "&amp;Settings!$B$3&amp;IF(Chargeback!$B10="",""," - "&amp;Chargeback!$B10))</f>
        <v/>
      </c>
    </row>
    <row r="10">
      <c r="A10" s="19">
        <f>IF(OR(Chargeback!$A11="",N(Chargeback!$L11)=0),"",Settings!$B$3)</f>
        <v/>
      </c>
      <c r="B10" s="19">
        <f>IF(OR(Chargeback!$A11="",N(Chargeback!$L11)=0),"",Settings!$B$6)</f>
        <v/>
      </c>
      <c r="C10" s="19">
        <f>IF(OR(Chargeback!$A11="",N(Chargeback!$L11)=0),"",Chargeback!$A11)</f>
        <v/>
      </c>
      <c r="D10" s="21">
        <f>IF(OR(Chargeback!$A11="",N(Chargeback!$L11)=0),"",ROUND(Chargeback!$L11,2))</f>
        <v/>
      </c>
      <c r="E10" s="14" t="n"/>
      <c r="F10" s="14">
        <f>IF(OR(Chargeback!$A11="",N(Chargeback!$L11)=0),"","AI coding tools chargeback "&amp;Settings!$B$3&amp;IF(Chargeback!$B11="",""," - "&amp;Chargeback!$B11))</f>
        <v/>
      </c>
    </row>
    <row r="11">
      <c r="A11" s="19">
        <f>IF(OR(Chargeback!$A12="",N(Chargeback!$L12)=0),"",Settings!$B$3)</f>
        <v/>
      </c>
      <c r="B11" s="19">
        <f>IF(OR(Chargeback!$A12="",N(Chargeback!$L12)=0),"",Settings!$B$6)</f>
        <v/>
      </c>
      <c r="C11" s="19">
        <f>IF(OR(Chargeback!$A12="",N(Chargeback!$L12)=0),"",Chargeback!$A12)</f>
        <v/>
      </c>
      <c r="D11" s="21">
        <f>IF(OR(Chargeback!$A12="",N(Chargeback!$L12)=0),"",ROUND(Chargeback!$L12,2))</f>
        <v/>
      </c>
      <c r="E11" s="14" t="n"/>
      <c r="F11" s="14">
        <f>IF(OR(Chargeback!$A12="",N(Chargeback!$L12)=0),"","AI coding tools chargeback "&amp;Settings!$B$3&amp;IF(Chargeback!$B12="",""," - "&amp;Chargeback!$B12))</f>
        <v/>
      </c>
    </row>
    <row r="12">
      <c r="A12" s="19">
        <f>IF(OR(Chargeback!$A13="",N(Chargeback!$L13)=0),"",Settings!$B$3)</f>
        <v/>
      </c>
      <c r="B12" s="19">
        <f>IF(OR(Chargeback!$A13="",N(Chargeback!$L13)=0),"",Settings!$B$6)</f>
        <v/>
      </c>
      <c r="C12" s="19">
        <f>IF(OR(Chargeback!$A13="",N(Chargeback!$L13)=0),"",Chargeback!$A13)</f>
        <v/>
      </c>
      <c r="D12" s="21">
        <f>IF(OR(Chargeback!$A13="",N(Chargeback!$L13)=0),"",ROUND(Chargeback!$L13,2))</f>
        <v/>
      </c>
      <c r="E12" s="14" t="n"/>
      <c r="F12" s="14">
        <f>IF(OR(Chargeback!$A13="",N(Chargeback!$L13)=0),"","AI coding tools chargeback "&amp;Settings!$B$3&amp;IF(Chargeback!$B13="",""," - "&amp;Chargeback!$B13))</f>
        <v/>
      </c>
    </row>
    <row r="13">
      <c r="A13" s="19">
        <f>IF(OR(Chargeback!$A14="",N(Chargeback!$L14)=0),"",Settings!$B$3)</f>
        <v/>
      </c>
      <c r="B13" s="19">
        <f>IF(OR(Chargeback!$A14="",N(Chargeback!$L14)=0),"",Settings!$B$6)</f>
        <v/>
      </c>
      <c r="C13" s="19">
        <f>IF(OR(Chargeback!$A14="",N(Chargeback!$L14)=0),"",Chargeback!$A14)</f>
        <v/>
      </c>
      <c r="D13" s="21">
        <f>IF(OR(Chargeback!$A14="",N(Chargeback!$L14)=0),"",ROUND(Chargeback!$L14,2))</f>
        <v/>
      </c>
      <c r="E13" s="14" t="n"/>
      <c r="F13" s="14">
        <f>IF(OR(Chargeback!$A14="",N(Chargeback!$L14)=0),"","AI coding tools chargeback "&amp;Settings!$B$3&amp;IF(Chargeback!$B14="",""," - "&amp;Chargeback!$B14))</f>
        <v/>
      </c>
    </row>
    <row r="14">
      <c r="A14" s="19">
        <f>IF(OR(Chargeback!$A15="",N(Chargeback!$L15)=0),"",Settings!$B$3)</f>
        <v/>
      </c>
      <c r="B14" s="19">
        <f>IF(OR(Chargeback!$A15="",N(Chargeback!$L15)=0),"",Settings!$B$6)</f>
        <v/>
      </c>
      <c r="C14" s="19">
        <f>IF(OR(Chargeback!$A15="",N(Chargeback!$L15)=0),"",Chargeback!$A15)</f>
        <v/>
      </c>
      <c r="D14" s="21">
        <f>IF(OR(Chargeback!$A15="",N(Chargeback!$L15)=0),"",ROUND(Chargeback!$L15,2))</f>
        <v/>
      </c>
      <c r="E14" s="14" t="n"/>
      <c r="F14" s="14">
        <f>IF(OR(Chargeback!$A15="",N(Chargeback!$L15)=0),"","AI coding tools chargeback "&amp;Settings!$B$3&amp;IF(Chargeback!$B15="",""," - "&amp;Chargeback!$B15))</f>
        <v/>
      </c>
    </row>
    <row r="15">
      <c r="A15" s="19">
        <f>IF(OR(Chargeback!$A16="",N(Chargeback!$L16)=0),"",Settings!$B$3)</f>
        <v/>
      </c>
      <c r="B15" s="19">
        <f>IF(OR(Chargeback!$A16="",N(Chargeback!$L16)=0),"",Settings!$B$6)</f>
        <v/>
      </c>
      <c r="C15" s="19">
        <f>IF(OR(Chargeback!$A16="",N(Chargeback!$L16)=0),"",Chargeback!$A16)</f>
        <v/>
      </c>
      <c r="D15" s="21">
        <f>IF(OR(Chargeback!$A16="",N(Chargeback!$L16)=0),"",ROUND(Chargeback!$L16,2))</f>
        <v/>
      </c>
      <c r="E15" s="14" t="n"/>
      <c r="F15" s="14">
        <f>IF(OR(Chargeback!$A16="",N(Chargeback!$L16)=0),"","AI coding tools chargeback "&amp;Settings!$B$3&amp;IF(Chargeback!$B16="",""," - "&amp;Chargeback!$B16))</f>
        <v/>
      </c>
    </row>
    <row r="16">
      <c r="A16" s="19">
        <f>IF(OR(Chargeback!$A17="",N(Chargeback!$L17)=0),"",Settings!$B$3)</f>
        <v/>
      </c>
      <c r="B16" s="19">
        <f>IF(OR(Chargeback!$A17="",N(Chargeback!$L17)=0),"",Settings!$B$6)</f>
        <v/>
      </c>
      <c r="C16" s="19">
        <f>IF(OR(Chargeback!$A17="",N(Chargeback!$L17)=0),"",Chargeback!$A17)</f>
        <v/>
      </c>
      <c r="D16" s="21">
        <f>IF(OR(Chargeback!$A17="",N(Chargeback!$L17)=0),"",ROUND(Chargeback!$L17,2))</f>
        <v/>
      </c>
      <c r="E16" s="14" t="n"/>
      <c r="F16" s="14">
        <f>IF(OR(Chargeback!$A17="",N(Chargeback!$L17)=0),"","AI coding tools chargeback "&amp;Settings!$B$3&amp;IF(Chargeback!$B17="",""," - "&amp;Chargeback!$B17))</f>
        <v/>
      </c>
    </row>
    <row r="17">
      <c r="A17" s="19">
        <f>IF(OR(Chargeback!$A18="",N(Chargeback!$L18)=0),"",Settings!$B$3)</f>
        <v/>
      </c>
      <c r="B17" s="19">
        <f>IF(OR(Chargeback!$A18="",N(Chargeback!$L18)=0),"",Settings!$B$6)</f>
        <v/>
      </c>
      <c r="C17" s="19">
        <f>IF(OR(Chargeback!$A18="",N(Chargeback!$L18)=0),"",Chargeback!$A18)</f>
        <v/>
      </c>
      <c r="D17" s="21">
        <f>IF(OR(Chargeback!$A18="",N(Chargeback!$L18)=0),"",ROUND(Chargeback!$L18,2))</f>
        <v/>
      </c>
      <c r="E17" s="14" t="n"/>
      <c r="F17" s="14">
        <f>IF(OR(Chargeback!$A18="",N(Chargeback!$L18)=0),"","AI coding tools chargeback "&amp;Settings!$B$3&amp;IF(Chargeback!$B18="",""," - "&amp;Chargeback!$B18))</f>
        <v/>
      </c>
    </row>
    <row r="18">
      <c r="A18" s="19">
        <f>IF(OR(Chargeback!$A19="",N(Chargeback!$L19)=0),"",Settings!$B$3)</f>
        <v/>
      </c>
      <c r="B18" s="19">
        <f>IF(OR(Chargeback!$A19="",N(Chargeback!$L19)=0),"",Settings!$B$6)</f>
        <v/>
      </c>
      <c r="C18" s="19">
        <f>IF(OR(Chargeback!$A19="",N(Chargeback!$L19)=0),"",Chargeback!$A19)</f>
        <v/>
      </c>
      <c r="D18" s="21">
        <f>IF(OR(Chargeback!$A19="",N(Chargeback!$L19)=0),"",ROUND(Chargeback!$L19,2))</f>
        <v/>
      </c>
      <c r="E18" s="14" t="n"/>
      <c r="F18" s="14">
        <f>IF(OR(Chargeback!$A19="",N(Chargeback!$L19)=0),"","AI coding tools chargeback "&amp;Settings!$B$3&amp;IF(Chargeback!$B19="",""," - "&amp;Chargeback!$B19))</f>
        <v/>
      </c>
    </row>
    <row r="19">
      <c r="A19" s="19">
        <f>IF(OR(Chargeback!$A20="",N(Chargeback!$L20)=0),"",Settings!$B$3)</f>
        <v/>
      </c>
      <c r="B19" s="19">
        <f>IF(OR(Chargeback!$A20="",N(Chargeback!$L20)=0),"",Settings!$B$6)</f>
        <v/>
      </c>
      <c r="C19" s="19">
        <f>IF(OR(Chargeback!$A20="",N(Chargeback!$L20)=0),"",Chargeback!$A20)</f>
        <v/>
      </c>
      <c r="D19" s="21">
        <f>IF(OR(Chargeback!$A20="",N(Chargeback!$L20)=0),"",ROUND(Chargeback!$L20,2))</f>
        <v/>
      </c>
      <c r="E19" s="14" t="n"/>
      <c r="F19" s="14">
        <f>IF(OR(Chargeback!$A20="",N(Chargeback!$L20)=0),"","AI coding tools chargeback "&amp;Settings!$B$3&amp;IF(Chargeback!$B20="",""," - "&amp;Chargeback!$B20))</f>
        <v/>
      </c>
    </row>
    <row r="20">
      <c r="A20" s="19">
        <f>IF(OR(Chargeback!$A21="",N(Chargeback!$L21)=0),"",Settings!$B$3)</f>
        <v/>
      </c>
      <c r="B20" s="19">
        <f>IF(OR(Chargeback!$A21="",N(Chargeback!$L21)=0),"",Settings!$B$6)</f>
        <v/>
      </c>
      <c r="C20" s="19">
        <f>IF(OR(Chargeback!$A21="",N(Chargeback!$L21)=0),"",Chargeback!$A21)</f>
        <v/>
      </c>
      <c r="D20" s="21">
        <f>IF(OR(Chargeback!$A21="",N(Chargeback!$L21)=0),"",ROUND(Chargeback!$L21,2))</f>
        <v/>
      </c>
      <c r="E20" s="14" t="n"/>
      <c r="F20" s="14">
        <f>IF(OR(Chargeback!$A21="",N(Chargeback!$L21)=0),"","AI coding tools chargeback "&amp;Settings!$B$3&amp;IF(Chargeback!$B21="",""," - "&amp;Chargeback!$B21))</f>
        <v/>
      </c>
    </row>
    <row r="21">
      <c r="A21" s="19">
        <f>IF(OR(Chargeback!$A22="",N(Chargeback!$L22)=0),"",Settings!$B$3)</f>
        <v/>
      </c>
      <c r="B21" s="19">
        <f>IF(OR(Chargeback!$A22="",N(Chargeback!$L22)=0),"",Settings!$B$6)</f>
        <v/>
      </c>
      <c r="C21" s="19">
        <f>IF(OR(Chargeback!$A22="",N(Chargeback!$L22)=0),"",Chargeback!$A22)</f>
        <v/>
      </c>
      <c r="D21" s="21">
        <f>IF(OR(Chargeback!$A22="",N(Chargeback!$L22)=0),"",ROUND(Chargeback!$L22,2))</f>
        <v/>
      </c>
      <c r="E21" s="14" t="n"/>
      <c r="F21" s="14">
        <f>IF(OR(Chargeback!$A22="",N(Chargeback!$L22)=0),"","AI coding tools chargeback "&amp;Settings!$B$3&amp;IF(Chargeback!$B22="",""," - "&amp;Chargeback!$B22))</f>
        <v/>
      </c>
    </row>
    <row r="22">
      <c r="A22" s="19">
        <f>IF(OR(Chargeback!$A23="",N(Chargeback!$L23)=0),"",Settings!$B$3)</f>
        <v/>
      </c>
      <c r="B22" s="19">
        <f>IF(OR(Chargeback!$A23="",N(Chargeback!$L23)=0),"",Settings!$B$6)</f>
        <v/>
      </c>
      <c r="C22" s="19">
        <f>IF(OR(Chargeback!$A23="",N(Chargeback!$L23)=0),"",Chargeback!$A23)</f>
        <v/>
      </c>
      <c r="D22" s="21">
        <f>IF(OR(Chargeback!$A23="",N(Chargeback!$L23)=0),"",ROUND(Chargeback!$L23,2))</f>
        <v/>
      </c>
      <c r="E22" s="14" t="n"/>
      <c r="F22" s="14">
        <f>IF(OR(Chargeback!$A23="",N(Chargeback!$L23)=0),"","AI coding tools chargeback "&amp;Settings!$B$3&amp;IF(Chargeback!$B23="",""," - "&amp;Chargeback!$B23))</f>
        <v/>
      </c>
    </row>
    <row r="23">
      <c r="A23" s="19">
        <f>IF(OR(Chargeback!$A24="",N(Chargeback!$L24)=0),"",Settings!$B$3)</f>
        <v/>
      </c>
      <c r="B23" s="19">
        <f>IF(OR(Chargeback!$A24="",N(Chargeback!$L24)=0),"",Settings!$B$6)</f>
        <v/>
      </c>
      <c r="C23" s="19">
        <f>IF(OR(Chargeback!$A24="",N(Chargeback!$L24)=0),"",Chargeback!$A24)</f>
        <v/>
      </c>
      <c r="D23" s="21">
        <f>IF(OR(Chargeback!$A24="",N(Chargeback!$L24)=0),"",ROUND(Chargeback!$L24,2))</f>
        <v/>
      </c>
      <c r="E23" s="14" t="n"/>
      <c r="F23" s="14">
        <f>IF(OR(Chargeback!$A24="",N(Chargeback!$L24)=0),"","AI coding tools chargeback "&amp;Settings!$B$3&amp;IF(Chargeback!$B24="",""," - "&amp;Chargeback!$B24))</f>
        <v/>
      </c>
    </row>
    <row r="24">
      <c r="A24" s="19">
        <f>IF(OR(Chargeback!$A25="",N(Chargeback!$L25)=0),"",Settings!$B$3)</f>
        <v/>
      </c>
      <c r="B24" s="19">
        <f>IF(OR(Chargeback!$A25="",N(Chargeback!$L25)=0),"",Settings!$B$6)</f>
        <v/>
      </c>
      <c r="C24" s="19">
        <f>IF(OR(Chargeback!$A25="",N(Chargeback!$L25)=0),"",Chargeback!$A25)</f>
        <v/>
      </c>
      <c r="D24" s="21">
        <f>IF(OR(Chargeback!$A25="",N(Chargeback!$L25)=0),"",ROUND(Chargeback!$L25,2))</f>
        <v/>
      </c>
      <c r="E24" s="14" t="n"/>
      <c r="F24" s="14">
        <f>IF(OR(Chargeback!$A25="",N(Chargeback!$L25)=0),"","AI coding tools chargeback "&amp;Settings!$B$3&amp;IF(Chargeback!$B25="",""," - "&amp;Chargeback!$B25))</f>
        <v/>
      </c>
    </row>
    <row r="25">
      <c r="A25" s="19">
        <f>IF(OR(Chargeback!$A26="",N(Chargeback!$L26)=0),"",Settings!$B$3)</f>
        <v/>
      </c>
      <c r="B25" s="19">
        <f>IF(OR(Chargeback!$A26="",N(Chargeback!$L26)=0),"",Settings!$B$6)</f>
        <v/>
      </c>
      <c r="C25" s="19">
        <f>IF(OR(Chargeback!$A26="",N(Chargeback!$L26)=0),"",Chargeback!$A26)</f>
        <v/>
      </c>
      <c r="D25" s="21">
        <f>IF(OR(Chargeback!$A26="",N(Chargeback!$L26)=0),"",ROUND(Chargeback!$L26,2))</f>
        <v/>
      </c>
      <c r="E25" s="14" t="n"/>
      <c r="F25" s="14">
        <f>IF(OR(Chargeback!$A26="",N(Chargeback!$L26)=0),"","AI coding tools chargeback "&amp;Settings!$B$3&amp;IF(Chargeback!$B26="",""," - "&amp;Chargeback!$B26))</f>
        <v/>
      </c>
    </row>
    <row r="26">
      <c r="A26" s="19">
        <f>IF(OR(Chargeback!$A27="",N(Chargeback!$L27)=0),"",Settings!$B$3)</f>
        <v/>
      </c>
      <c r="B26" s="19">
        <f>IF(OR(Chargeback!$A27="",N(Chargeback!$L27)=0),"",Settings!$B$6)</f>
        <v/>
      </c>
      <c r="C26" s="19">
        <f>IF(OR(Chargeback!$A27="",N(Chargeback!$L27)=0),"",Chargeback!$A27)</f>
        <v/>
      </c>
      <c r="D26" s="21">
        <f>IF(OR(Chargeback!$A27="",N(Chargeback!$L27)=0),"",ROUND(Chargeback!$L27,2))</f>
        <v/>
      </c>
      <c r="E26" s="14" t="n"/>
      <c r="F26" s="14">
        <f>IF(OR(Chargeback!$A27="",N(Chargeback!$L27)=0),"","AI coding tools chargeback "&amp;Settings!$B$3&amp;IF(Chargeback!$B27="",""," - "&amp;Chargeback!$B27))</f>
        <v/>
      </c>
    </row>
    <row r="27">
      <c r="A27" s="19">
        <f>IF(OR(Chargeback!$A28="",N(Chargeback!$L28)=0),"",Settings!$B$3)</f>
        <v/>
      </c>
      <c r="B27" s="19">
        <f>IF(OR(Chargeback!$A28="",N(Chargeback!$L28)=0),"",Settings!$B$6)</f>
        <v/>
      </c>
      <c r="C27" s="19">
        <f>IF(OR(Chargeback!$A28="",N(Chargeback!$L28)=0),"",Chargeback!$A28)</f>
        <v/>
      </c>
      <c r="D27" s="21">
        <f>IF(OR(Chargeback!$A28="",N(Chargeback!$L28)=0),"",ROUND(Chargeback!$L28,2))</f>
        <v/>
      </c>
      <c r="E27" s="14" t="n"/>
      <c r="F27" s="14">
        <f>IF(OR(Chargeback!$A28="",N(Chargeback!$L28)=0),"","AI coding tools chargeback "&amp;Settings!$B$3&amp;IF(Chargeback!$B28="",""," - "&amp;Chargeback!$B28))</f>
        <v/>
      </c>
    </row>
    <row r="28">
      <c r="A28" s="19">
        <f>IF(OR(Chargeback!$A29="",N(Chargeback!$L29)=0),"",Settings!$B$3)</f>
        <v/>
      </c>
      <c r="B28" s="19">
        <f>IF(OR(Chargeback!$A29="",N(Chargeback!$L29)=0),"",Settings!$B$6)</f>
        <v/>
      </c>
      <c r="C28" s="19">
        <f>IF(OR(Chargeback!$A29="",N(Chargeback!$L29)=0),"",Chargeback!$A29)</f>
        <v/>
      </c>
      <c r="D28" s="21">
        <f>IF(OR(Chargeback!$A29="",N(Chargeback!$L29)=0),"",ROUND(Chargeback!$L29,2))</f>
        <v/>
      </c>
      <c r="E28" s="14" t="n"/>
      <c r="F28" s="14">
        <f>IF(OR(Chargeback!$A29="",N(Chargeback!$L29)=0),"","AI coding tools chargeback "&amp;Settings!$B$3&amp;IF(Chargeback!$B29="",""," - "&amp;Chargeback!$B29))</f>
        <v/>
      </c>
    </row>
    <row r="29">
      <c r="A29" s="19">
        <f>IF(OR(Chargeback!$A30="",N(Chargeback!$L30)=0),"",Settings!$B$3)</f>
        <v/>
      </c>
      <c r="B29" s="19">
        <f>IF(OR(Chargeback!$A30="",N(Chargeback!$L30)=0),"",Settings!$B$6)</f>
        <v/>
      </c>
      <c r="C29" s="19">
        <f>IF(OR(Chargeback!$A30="",N(Chargeback!$L30)=0),"",Chargeback!$A30)</f>
        <v/>
      </c>
      <c r="D29" s="21">
        <f>IF(OR(Chargeback!$A30="",N(Chargeback!$L30)=0),"",ROUND(Chargeback!$L30,2))</f>
        <v/>
      </c>
      <c r="E29" s="14" t="n"/>
      <c r="F29" s="14">
        <f>IF(OR(Chargeback!$A30="",N(Chargeback!$L30)=0),"","AI coding tools chargeback "&amp;Settings!$B$3&amp;IF(Chargeback!$B30="",""," - "&amp;Chargeback!$B30))</f>
        <v/>
      </c>
    </row>
    <row r="30">
      <c r="A30" s="19">
        <f>IF(OR(Chargeback!$A31="",N(Chargeback!$L31)=0),"",Settings!$B$3)</f>
        <v/>
      </c>
      <c r="B30" s="19">
        <f>IF(OR(Chargeback!$A31="",N(Chargeback!$L31)=0),"",Settings!$B$6)</f>
        <v/>
      </c>
      <c r="C30" s="19">
        <f>IF(OR(Chargeback!$A31="",N(Chargeback!$L31)=0),"",Chargeback!$A31)</f>
        <v/>
      </c>
      <c r="D30" s="21">
        <f>IF(OR(Chargeback!$A31="",N(Chargeback!$L31)=0),"",ROUND(Chargeback!$L31,2))</f>
        <v/>
      </c>
      <c r="E30" s="14" t="n"/>
      <c r="F30" s="14">
        <f>IF(OR(Chargeback!$A31="",N(Chargeback!$L31)=0),"","AI coding tools chargeback "&amp;Settings!$B$3&amp;IF(Chargeback!$B31="",""," - "&amp;Chargeback!$B31))</f>
        <v/>
      </c>
    </row>
    <row r="31">
      <c r="A31" s="19">
        <f>IF(OR(Chargeback!$A32="",N(Chargeback!$L32)=0),"",Settings!$B$3)</f>
        <v/>
      </c>
      <c r="B31" s="19">
        <f>IF(OR(Chargeback!$A32="",N(Chargeback!$L32)=0),"",Settings!$B$6)</f>
        <v/>
      </c>
      <c r="C31" s="19">
        <f>IF(OR(Chargeback!$A32="",N(Chargeback!$L32)=0),"",Chargeback!$A32)</f>
        <v/>
      </c>
      <c r="D31" s="21">
        <f>IF(OR(Chargeback!$A32="",N(Chargeback!$L32)=0),"",ROUND(Chargeback!$L32,2))</f>
        <v/>
      </c>
      <c r="E31" s="14" t="n"/>
      <c r="F31" s="14">
        <f>IF(OR(Chargeback!$A32="",N(Chargeback!$L32)=0),"","AI coding tools chargeback "&amp;Settings!$B$3&amp;IF(Chargeback!$B32="",""," - "&amp;Chargeback!$B32))</f>
        <v/>
      </c>
    </row>
    <row r="32">
      <c r="A32" s="19">
        <f>IF(OR(Chargeback!$A33="",N(Chargeback!$L33)=0),"",Settings!$B$3)</f>
        <v/>
      </c>
      <c r="B32" s="19">
        <f>IF(OR(Chargeback!$A33="",N(Chargeback!$L33)=0),"",Settings!$B$6)</f>
        <v/>
      </c>
      <c r="C32" s="19">
        <f>IF(OR(Chargeback!$A33="",N(Chargeback!$L33)=0),"",Chargeback!$A33)</f>
        <v/>
      </c>
      <c r="D32" s="21">
        <f>IF(OR(Chargeback!$A33="",N(Chargeback!$L33)=0),"",ROUND(Chargeback!$L33,2))</f>
        <v/>
      </c>
      <c r="E32" s="14" t="n"/>
      <c r="F32" s="14">
        <f>IF(OR(Chargeback!$A33="",N(Chargeback!$L33)=0),"","AI coding tools chargeback "&amp;Settings!$B$3&amp;IF(Chargeback!$B33="",""," - "&amp;Chargeback!$B33))</f>
        <v/>
      </c>
    </row>
    <row r="33">
      <c r="A33" s="19">
        <f>IF(OR(Chargeback!$A34="",N(Chargeback!$L34)=0),"",Settings!$B$3)</f>
        <v/>
      </c>
      <c r="B33" s="19">
        <f>IF(OR(Chargeback!$A34="",N(Chargeback!$L34)=0),"",Settings!$B$6)</f>
        <v/>
      </c>
      <c r="C33" s="19">
        <f>IF(OR(Chargeback!$A34="",N(Chargeback!$L34)=0),"",Chargeback!$A34)</f>
        <v/>
      </c>
      <c r="D33" s="21">
        <f>IF(OR(Chargeback!$A34="",N(Chargeback!$L34)=0),"",ROUND(Chargeback!$L34,2))</f>
        <v/>
      </c>
      <c r="E33" s="14" t="n"/>
      <c r="F33" s="14">
        <f>IF(OR(Chargeback!$A34="",N(Chargeback!$L34)=0),"","AI coding tools chargeback "&amp;Settings!$B$3&amp;IF(Chargeback!$B34="",""," - "&amp;Chargeback!$B34))</f>
        <v/>
      </c>
    </row>
    <row r="34">
      <c r="A34" s="19">
        <f>IF(OR(Chargeback!$A35="",N(Chargeback!$L35)=0),"",Settings!$B$3)</f>
        <v/>
      </c>
      <c r="B34" s="19">
        <f>IF(OR(Chargeback!$A35="",N(Chargeback!$L35)=0),"",Settings!$B$6)</f>
        <v/>
      </c>
      <c r="C34" s="19">
        <f>IF(OR(Chargeback!$A35="",N(Chargeback!$L35)=0),"",Chargeback!$A35)</f>
        <v/>
      </c>
      <c r="D34" s="21">
        <f>IF(OR(Chargeback!$A35="",N(Chargeback!$L35)=0),"",ROUND(Chargeback!$L35,2))</f>
        <v/>
      </c>
      <c r="E34" s="14" t="n"/>
      <c r="F34" s="14">
        <f>IF(OR(Chargeback!$A35="",N(Chargeback!$L35)=0),"","AI coding tools chargeback "&amp;Settings!$B$3&amp;IF(Chargeback!$B35="",""," - "&amp;Chargeback!$B35))</f>
        <v/>
      </c>
    </row>
    <row r="35">
      <c r="A35" s="19">
        <f>IF(OR(Chargeback!$A36="",N(Chargeback!$L36)=0),"",Settings!$B$3)</f>
        <v/>
      </c>
      <c r="B35" s="19">
        <f>IF(OR(Chargeback!$A36="",N(Chargeback!$L36)=0),"",Settings!$B$6)</f>
        <v/>
      </c>
      <c r="C35" s="19">
        <f>IF(OR(Chargeback!$A36="",N(Chargeback!$L36)=0),"",Chargeback!$A36)</f>
        <v/>
      </c>
      <c r="D35" s="21">
        <f>IF(OR(Chargeback!$A36="",N(Chargeback!$L36)=0),"",ROUND(Chargeback!$L36,2))</f>
        <v/>
      </c>
      <c r="E35" s="14" t="n"/>
      <c r="F35" s="14">
        <f>IF(OR(Chargeback!$A36="",N(Chargeback!$L36)=0),"","AI coding tools chargeback "&amp;Settings!$B$3&amp;IF(Chargeback!$B36="",""," - "&amp;Chargeback!$B36))</f>
        <v/>
      </c>
    </row>
    <row r="36">
      <c r="A36" s="19">
        <f>Settings!$B$3</f>
        <v/>
      </c>
      <c r="B36" s="19">
        <f>Settings!$B$7</f>
        <v/>
      </c>
      <c r="C36" s="14" t="n"/>
      <c r="D36" s="14" t="n"/>
      <c r="E36" s="24">
        <f>SUM(D5:D35)</f>
        <v/>
      </c>
      <c r="F36" s="14">
        <f>"AI coding tools chargeback "&amp;Settings!$B$3&amp;" - total"</f>
        <v/>
      </c>
    </row>
    <row r="38">
      <c r="A38" s="6" t="inlineStr">
        <is>
          <t>Check: debits minus credits (should be 0)</t>
        </is>
      </c>
      <c r="E38" s="31">
        <f>SUM(D5:D35)-E36</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Ganivra</dc:creator>
  <dc:title>AI coding tools chargeback template</dc:title>
  <dcterms:created xsi:type="dcterms:W3CDTF">2026-11-07T14:21:58Z</dcterms:created>
  <dcterms:modified xsi:type="dcterms:W3CDTF">2026-11-07T14:21:58Z</dcterms:modified>
</cp:coreProperties>
</file>